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own Clerk\ELECTIONS FOLDER\2024\Presidential Primary\"/>
    </mc:Choice>
  </mc:AlternateContent>
  <bookViews>
    <workbookView xWindow="0" yWindow="0" windowWidth="28800" windowHeight="11730" activeTab="4"/>
  </bookViews>
  <sheets>
    <sheet name="DEMOCRATIC Tally" sheetId="1" r:id="rId1"/>
    <sheet name="REPUBLICAN Tally" sheetId="2" r:id="rId2"/>
    <sheet name="LIBERTARIAN Tally" sheetId="3" r:id="rId3"/>
    <sheet name="Total  Votes by Tape" sheetId="5" r:id="rId4"/>
    <sheet name="DEM TC" sheetId="6" r:id="rId5"/>
    <sheet name="REP TC" sheetId="7" r:id="rId6"/>
  </sheets>
  <definedNames>
    <definedName name="_xlnm.Print_Area" localSheetId="4">'DEM TC'!$A$1:$G$34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7" l="1"/>
  <c r="C37" i="7"/>
  <c r="D37" i="7"/>
  <c r="B37" i="7"/>
  <c r="D33" i="6"/>
  <c r="B33" i="6"/>
  <c r="C33" i="6"/>
  <c r="D43" i="2" l="1"/>
  <c r="C45" i="1"/>
  <c r="D38" i="3"/>
  <c r="D33" i="3"/>
  <c r="D25" i="3"/>
  <c r="D14" i="3"/>
  <c r="D15" i="3"/>
  <c r="D44" i="2"/>
  <c r="D37" i="1"/>
  <c r="D29" i="1"/>
  <c r="D28" i="1"/>
  <c r="D21" i="1"/>
  <c r="D20" i="1"/>
  <c r="D12" i="1"/>
  <c r="D8" i="1"/>
  <c r="E34" i="2"/>
  <c r="E43" i="2"/>
  <c r="E32" i="2"/>
  <c r="E23" i="2"/>
  <c r="E15" i="2"/>
  <c r="E42" i="2"/>
  <c r="E25" i="2"/>
  <c r="E24" i="2"/>
  <c r="E14" i="2"/>
  <c r="E10" i="1"/>
  <c r="E27" i="1"/>
  <c r="E21" i="1"/>
  <c r="E20" i="1"/>
  <c r="E19" i="1"/>
  <c r="E13" i="1"/>
  <c r="E12" i="1"/>
  <c r="E11" i="1"/>
  <c r="E9" i="1"/>
  <c r="E12" i="2" l="1"/>
  <c r="C33" i="2"/>
  <c r="C32" i="2"/>
  <c r="C24" i="2"/>
  <c r="C23" i="2"/>
  <c r="C14" i="2"/>
  <c r="C12" i="2"/>
  <c r="C27" i="1"/>
  <c r="C19" i="1"/>
  <c r="C9" i="1"/>
  <c r="F45" i="2" l="1"/>
  <c r="F46" i="2"/>
  <c r="F47" i="2"/>
  <c r="F48" i="2"/>
  <c r="F49" i="2"/>
  <c r="F32" i="3"/>
  <c r="F23" i="3"/>
  <c r="F39" i="1" l="1"/>
  <c r="F40" i="1"/>
  <c r="F41" i="1"/>
  <c r="F42" i="1"/>
  <c r="F35" i="1"/>
  <c r="F9" i="1"/>
  <c r="F42" i="2"/>
  <c r="C8" i="2"/>
  <c r="D52" i="2"/>
  <c r="D45" i="1"/>
  <c r="F45" i="1"/>
  <c r="C44" i="3"/>
  <c r="C38" i="3"/>
  <c r="C37" i="3"/>
  <c r="C41" i="3" s="1"/>
  <c r="C31" i="3"/>
  <c r="C25" i="3"/>
  <c r="F25" i="3" s="1"/>
  <c r="C24" i="3"/>
  <c r="C15" i="3"/>
  <c r="C14" i="3"/>
  <c r="C13" i="3"/>
  <c r="C12" i="3"/>
  <c r="C11" i="3"/>
  <c r="C10" i="3"/>
  <c r="C9" i="3"/>
  <c r="C8" i="3"/>
  <c r="C44" i="2"/>
  <c r="C43" i="2"/>
  <c r="C35" i="2"/>
  <c r="C34" i="2"/>
  <c r="C26" i="2"/>
  <c r="C25" i="2"/>
  <c r="C17" i="2"/>
  <c r="C16" i="2"/>
  <c r="C15" i="2"/>
  <c r="C13" i="2"/>
  <c r="C11" i="2"/>
  <c r="C10" i="2"/>
  <c r="C9" i="2"/>
  <c r="C37" i="1"/>
  <c r="C36" i="1"/>
  <c r="F36" i="1" s="1"/>
  <c r="C29" i="1"/>
  <c r="C28" i="1"/>
  <c r="C21" i="1"/>
  <c r="F21" i="1" s="1"/>
  <c r="C20" i="1"/>
  <c r="F20" i="1" s="1"/>
  <c r="C13" i="1"/>
  <c r="C12" i="1"/>
  <c r="F12" i="1" s="1"/>
  <c r="C11" i="1"/>
  <c r="C10" i="1"/>
  <c r="C8" i="1"/>
  <c r="E44" i="3"/>
  <c r="E38" i="3"/>
  <c r="E37" i="3"/>
  <c r="E33" i="3"/>
  <c r="E31" i="3"/>
  <c r="E24" i="3"/>
  <c r="E13" i="3"/>
  <c r="E12" i="3"/>
  <c r="E10" i="3"/>
  <c r="E52" i="2"/>
  <c r="E33" i="2"/>
  <c r="E13" i="2"/>
  <c r="E11" i="2"/>
  <c r="E10" i="2"/>
  <c r="E9" i="2"/>
  <c r="E8" i="2"/>
  <c r="E45" i="1"/>
  <c r="E36" i="1"/>
  <c r="E29" i="1"/>
  <c r="E28" i="1"/>
  <c r="E8" i="1"/>
  <c r="D37" i="3"/>
  <c r="D31" i="3"/>
  <c r="F33" i="3"/>
  <c r="D24" i="3"/>
  <c r="D11" i="3"/>
  <c r="D13" i="3"/>
  <c r="D12" i="3"/>
  <c r="D10" i="3"/>
  <c r="D9" i="3"/>
  <c r="D8" i="3"/>
  <c r="D35" i="2"/>
  <c r="D34" i="2"/>
  <c r="D33" i="2"/>
  <c r="F33" i="2" s="1"/>
  <c r="D32" i="2"/>
  <c r="F32" i="2" s="1"/>
  <c r="D26" i="2"/>
  <c r="D25" i="2"/>
  <c r="D24" i="2"/>
  <c r="F24" i="2" s="1"/>
  <c r="D23" i="2"/>
  <c r="F23" i="2" s="1"/>
  <c r="D17" i="2"/>
  <c r="D15" i="2"/>
  <c r="D14" i="2"/>
  <c r="F14" i="2" s="1"/>
  <c r="D13" i="2"/>
  <c r="D12" i="2"/>
  <c r="F12" i="2" s="1"/>
  <c r="D11" i="2"/>
  <c r="D10" i="2"/>
  <c r="D9" i="2"/>
  <c r="D8" i="2"/>
  <c r="F37" i="1"/>
  <c r="D27" i="1"/>
  <c r="F27" i="1" s="1"/>
  <c r="D19" i="1"/>
  <c r="F19" i="1" s="1"/>
  <c r="D13" i="1"/>
  <c r="D11" i="1"/>
  <c r="D10" i="1"/>
  <c r="D9" i="1"/>
  <c r="F24" i="3" l="1"/>
  <c r="F44" i="3"/>
  <c r="F8" i="1"/>
  <c r="D41" i="3"/>
  <c r="E41" i="3"/>
  <c r="F29" i="1"/>
  <c r="F10" i="1"/>
  <c r="F13" i="1"/>
  <c r="F11" i="1"/>
  <c r="F28" i="1"/>
  <c r="F52" i="2"/>
  <c r="F13" i="2"/>
  <c r="F43" i="2"/>
  <c r="F15" i="2"/>
  <c r="F26" i="2"/>
  <c r="F10" i="2"/>
  <c r="F8" i="2"/>
  <c r="F16" i="2"/>
  <c r="F34" i="2"/>
  <c r="F9" i="2"/>
  <c r="F11" i="2"/>
  <c r="F17" i="2"/>
  <c r="F35" i="2"/>
  <c r="F25" i="2"/>
  <c r="F27" i="2" s="1"/>
  <c r="F44" i="2"/>
  <c r="D43" i="1"/>
  <c r="E43" i="1"/>
  <c r="C43" i="1"/>
  <c r="D38" i="1"/>
  <c r="E38" i="1"/>
  <c r="C38" i="1"/>
  <c r="D14" i="1"/>
  <c r="E14" i="1"/>
  <c r="C14" i="1"/>
  <c r="D50" i="2"/>
  <c r="E50" i="2"/>
  <c r="C50" i="2"/>
  <c r="D36" i="2"/>
  <c r="E36" i="2"/>
  <c r="C36" i="2"/>
  <c r="D27" i="2"/>
  <c r="E27" i="2"/>
  <c r="C27" i="2"/>
  <c r="D18" i="2"/>
  <c r="E18" i="2"/>
  <c r="C18" i="2"/>
  <c r="F41" i="3" l="1"/>
  <c r="F43" i="1"/>
  <c r="F38" i="1"/>
  <c r="F18" i="2"/>
  <c r="F36" i="2"/>
  <c r="F50" i="2"/>
  <c r="F14" i="1"/>
  <c r="D34" i="3"/>
  <c r="E34" i="3"/>
  <c r="C34" i="3"/>
  <c r="D26" i="3"/>
  <c r="E26" i="3"/>
  <c r="C26" i="3"/>
  <c r="D17" i="3"/>
  <c r="E17" i="3"/>
  <c r="C17" i="3"/>
  <c r="D46" i="3"/>
  <c r="E46" i="3"/>
  <c r="F46" i="3"/>
  <c r="C46" i="3"/>
  <c r="D54" i="2"/>
  <c r="E54" i="2"/>
  <c r="F54" i="2"/>
  <c r="C54" i="2"/>
  <c r="F47" i="1"/>
  <c r="F26" i="3" l="1"/>
  <c r="F17" i="3"/>
  <c r="F34" i="3"/>
  <c r="D30" i="1"/>
  <c r="E30" i="1"/>
  <c r="C30" i="1"/>
  <c r="D22" i="1"/>
  <c r="D47" i="1" s="1"/>
  <c r="E22" i="1"/>
  <c r="E47" i="1" s="1"/>
  <c r="F22" i="1"/>
  <c r="C22" i="1"/>
  <c r="F30" i="1" l="1"/>
  <c r="C47" i="1"/>
  <c r="D4" i="5"/>
  <c r="C4" i="5"/>
  <c r="B4" i="5"/>
  <c r="E4" i="5"/>
  <c r="F31" i="3" l="1"/>
  <c r="F8" i="3" l="1"/>
  <c r="F9" i="3"/>
  <c r="F10" i="3"/>
  <c r="F11" i="3"/>
  <c r="F12" i="3"/>
  <c r="F14" i="3"/>
  <c r="F38" i="3"/>
  <c r="F39" i="3"/>
  <c r="F40" i="3"/>
  <c r="F37" i="3"/>
</calcChain>
</file>

<file path=xl/sharedStrings.xml><?xml version="1.0" encoding="utf-8"?>
<sst xmlns="http://schemas.openxmlformats.org/spreadsheetml/2006/main" count="248" uniqueCount="135">
  <si>
    <t>PRECINCT 1</t>
  </si>
  <si>
    <t>PRECINCT 2</t>
  </si>
  <si>
    <t>PRECINCT 3</t>
  </si>
  <si>
    <t>TOTALS</t>
  </si>
  <si>
    <t>Blank</t>
  </si>
  <si>
    <t>Write In</t>
  </si>
  <si>
    <t xml:space="preserve">Write In </t>
  </si>
  <si>
    <t>TOTAL VOTES CAST</t>
  </si>
  <si>
    <t>TOTAL # REG VOTERS</t>
  </si>
  <si>
    <t>%  OF VOTER TURN OUT</t>
  </si>
  <si>
    <t>PRESIDENTIAL PRIMARY</t>
  </si>
  <si>
    <t>DEMOCRATIC PARTY</t>
  </si>
  <si>
    <t>Presidential Preference</t>
  </si>
  <si>
    <t>VOTE for One</t>
  </si>
  <si>
    <t>Joseph R. Biden</t>
  </si>
  <si>
    <t>Marianne Williamson</t>
  </si>
  <si>
    <t>No Preference</t>
  </si>
  <si>
    <t>Write-In</t>
  </si>
  <si>
    <t>State Committee Man</t>
  </si>
  <si>
    <t>State Committee Woman</t>
  </si>
  <si>
    <t>Town Committee</t>
  </si>
  <si>
    <t>Do not Vote for More Than 35</t>
  </si>
  <si>
    <t>REPUBLICAN PARTY</t>
  </si>
  <si>
    <t>LIBERTARIAN PARTY</t>
  </si>
  <si>
    <t>Donald J. Trump</t>
  </si>
  <si>
    <t>Vote for One</t>
  </si>
  <si>
    <t>STATE COMMITTEE MAN</t>
  </si>
  <si>
    <t>STATE COMMITTEE WOMAN</t>
  </si>
  <si>
    <t>Write - In</t>
  </si>
  <si>
    <t>TOWN COMMITTEE</t>
  </si>
  <si>
    <t>Do NOT Vote for More than 20</t>
  </si>
  <si>
    <t>Vote for one</t>
  </si>
  <si>
    <t>Total Votes Cast</t>
  </si>
  <si>
    <t>PRESIDENTIAL PRIMARY ELECTION</t>
  </si>
  <si>
    <t>Tuesday, March 05, 2024</t>
  </si>
  <si>
    <t>Dean Phillips</t>
  </si>
  <si>
    <t>Thomas Trull Klebart</t>
  </si>
  <si>
    <t>Lisa A. Mosczynski</t>
  </si>
  <si>
    <t>Dave Mitchell Group</t>
  </si>
  <si>
    <t xml:space="preserve">Write-In </t>
  </si>
  <si>
    <t>Jacob George Hornbrger</t>
  </si>
  <si>
    <t>Michael D. Rectenwald</t>
  </si>
  <si>
    <t>Chase Russell Oliver</t>
  </si>
  <si>
    <t>Michael Ter Maat</t>
  </si>
  <si>
    <t>Lars Damian Mapstead</t>
  </si>
  <si>
    <t>Blanks</t>
  </si>
  <si>
    <t>Chris Christie</t>
  </si>
  <si>
    <t>Ryan Binkley</t>
  </si>
  <si>
    <t>Vivek Ramaswamy</t>
  </si>
  <si>
    <t>Asa Hutchinson</t>
  </si>
  <si>
    <t>Ron DeSantis</t>
  </si>
  <si>
    <t>Nikki Haley</t>
  </si>
  <si>
    <t>Ryan Chamberland</t>
  </si>
  <si>
    <t>Michael W. Young</t>
  </si>
  <si>
    <t>Janet E. Garon</t>
  </si>
  <si>
    <t>Elisabeth S. L. Groot</t>
  </si>
  <si>
    <t>Totals</t>
  </si>
  <si>
    <t>Total</t>
  </si>
  <si>
    <t>Hand Counts</t>
  </si>
  <si>
    <t>Hand Count</t>
  </si>
  <si>
    <t>Mike Young Group</t>
  </si>
  <si>
    <t>Write Ins (other than below)</t>
  </si>
  <si>
    <r>
      <t xml:space="preserve">Poll Workers included: Chris Wilson, Elaine Cook, Deb Morse, Tim Bardsley, Ron Stietzel, Marie Dubrey, Patricia Roy, Joan Chamberland, Patricia Howard, Sandra Gibson-Quigley, Elisa Krochmalnycky, Nancy Santullo-Fors, Susan Schwartz, Bev Spreeman, Cheryl Economous, Janet Rae-Sinnian,  Lucette Favreau, Michelle Moran, Marcia Mattioli, Sharon McDonald, Diane Trepasso, Stanley Delman, Jack Ouimet and Assistant Town Clerk Sheila O'Connell. Town Clerk Lynne Girouard swore the poll workers in and lead them in the Pledge of Allegiance.  She reviewed procedures for Absentee, and  Early inactive voters, provisional ballots and those needing to show ID.       
Order and decorum was efficiently handled by Constables Dave Covino, Ron Komar, Officer Zachary Manderosian, Officer Nicholas Mardirosian.  The polls opened promptly at 6:30AM and closed at 8:00 p.m. 2,314 registered active voters came out to cast their vote for a </t>
    </r>
    <r>
      <rPr>
        <u/>
        <sz val="12"/>
        <rFont val="Times New Roman"/>
        <family val="1"/>
      </rPr>
      <t>31</t>
    </r>
    <r>
      <rPr>
        <b/>
        <u/>
        <sz val="12"/>
        <rFont val="Times New Roman"/>
        <family val="1"/>
      </rPr>
      <t>%</t>
    </r>
    <r>
      <rPr>
        <u/>
        <sz val="12"/>
        <rFont val="Times New Roman"/>
        <family val="1"/>
      </rPr>
      <t xml:space="preserve"> </t>
    </r>
    <r>
      <rPr>
        <sz val="12"/>
        <rFont val="Times New Roman"/>
        <family val="1"/>
      </rPr>
      <t>turnout.</t>
    </r>
  </si>
  <si>
    <t>Poll Workers included: Chris Wilson, Elaine Cook, Deb Morse, Tim Bardsley, Ron Stietzel, Marie Dubrey, Patricia Roy, Joan Chamberland, Patricia Howard, Sandra Gibson-Quigley, Elisa Krochmalnycky, Nancy Santullo-Fors, Susan Schwartz, Bev Spreeman, Cheryl Economous, Janet Rae-Sinnian,  Lucette Favreau, Michelle Moran, Marcia Mattioli, Sharon McDonald, Diane Trepasso, Stanley Delman, Jack Ouimet and Assistant Town Clerk Sheila O'Connell. Town Clerk Lynne Girouard swore the poll workers in and lead them in the Pledge of Allegiance.  She reviewed procedures for Absentee, and  Early inactive voters, provisional ballots and those needing to show ID.       
Order and decorum was efficiently handled by Constables Dave Covino, Ron Komar, Officer Zachary Manderosian, Officer Nicholas Mardirosian.  The polls opened promptly at 6:30AM and closed at 8:00 p.m. 2,314 registered active voters came out to cast their vote for a 31% turnout.</t>
  </si>
  <si>
    <t>GROUP</t>
  </si>
  <si>
    <t>DEM TOWN COMMITTEE</t>
  </si>
  <si>
    <t>REP TOWN COMMITTEE</t>
  </si>
  <si>
    <t>Michael Young</t>
  </si>
  <si>
    <t>Group = Michael Young</t>
  </si>
  <si>
    <t>Louis Fazen</t>
  </si>
  <si>
    <t>A Kennedy</t>
  </si>
  <si>
    <t>PREC-1</t>
  </si>
  <si>
    <t>PREC-2</t>
  </si>
  <si>
    <t>Prec-3</t>
  </si>
  <si>
    <t>S Mansur</t>
  </si>
  <si>
    <t>J Keane</t>
  </si>
  <si>
    <t>L Gunagan</t>
  </si>
  <si>
    <t>E Gaspar</t>
  </si>
  <si>
    <t>M Lightbown</t>
  </si>
  <si>
    <t>J Landon</t>
  </si>
  <si>
    <t>J Heaney</t>
  </si>
  <si>
    <t>E Goodwin</t>
  </si>
  <si>
    <t>R Hillman</t>
  </si>
  <si>
    <t>P Murphy</t>
  </si>
  <si>
    <t>S Murphy</t>
  </si>
  <si>
    <t>J Garon</t>
  </si>
  <si>
    <t>B McRoy</t>
  </si>
  <si>
    <t>W McRoy</t>
  </si>
  <si>
    <t>D Ziegler</t>
  </si>
  <si>
    <t>G Galonek</t>
  </si>
  <si>
    <t>K Tuohey</t>
  </si>
  <si>
    <t>Elisa K</t>
  </si>
  <si>
    <t>Jarrod Sullivan</t>
  </si>
  <si>
    <t>Donna Merchant</t>
  </si>
  <si>
    <t>Mary Lou Volpe</t>
  </si>
  <si>
    <t>Michael P. Jones</t>
  </si>
  <si>
    <t>Gail Young</t>
  </si>
  <si>
    <t>Dennis McCurdy</t>
  </si>
  <si>
    <t>William Zelenak</t>
  </si>
  <si>
    <t>John Gunagan</t>
  </si>
  <si>
    <t>Jeffrey Strause</t>
  </si>
  <si>
    <t>Jarrod Donovan</t>
  </si>
  <si>
    <t>James Korman</t>
  </si>
  <si>
    <t>Davis Lange</t>
  </si>
  <si>
    <t>Kelly Mitchell</t>
  </si>
  <si>
    <t>Joe Williams</t>
  </si>
  <si>
    <t>Dave Peterkin</t>
  </si>
  <si>
    <t>Jordan Bartlett</t>
  </si>
  <si>
    <t>Thomas Chamberland</t>
  </si>
  <si>
    <t>Andrew Houle</t>
  </si>
  <si>
    <t>Edward Goodwin*</t>
  </si>
  <si>
    <t>* - indicates already listed in group</t>
  </si>
  <si>
    <t>Kelly Jean Yap*</t>
  </si>
  <si>
    <t>Emily Foster*</t>
  </si>
  <si>
    <t>Carol Goodwin*</t>
  </si>
  <si>
    <t>Jaime Goodwin*</t>
  </si>
  <si>
    <t>Brenda Joyce*</t>
  </si>
  <si>
    <t>William MacDonald*</t>
  </si>
  <si>
    <t>Carol Mitchell*</t>
  </si>
  <si>
    <t>David Mitchell*</t>
  </si>
  <si>
    <t>Tanya Neslusan*</t>
  </si>
  <si>
    <t>Kathleen Neal*</t>
  </si>
  <si>
    <t>Barbara Search*</t>
  </si>
  <si>
    <t>Michael Serio*</t>
  </si>
  <si>
    <t>Jeffrey Scott Shapiro*</t>
  </si>
  <si>
    <t>Joanna Shapiro*</t>
  </si>
  <si>
    <t>Michael G Suprenant*</t>
  </si>
  <si>
    <t xml:space="preserve">TOTAL FOR GROUP </t>
  </si>
  <si>
    <t>Total With All Votes</t>
  </si>
  <si>
    <t>Tom Olson</t>
  </si>
  <si>
    <t>Tom Lauria</t>
  </si>
  <si>
    <t>Mary Ann Thorpe</t>
  </si>
  <si>
    <t>Alex Audette</t>
  </si>
  <si>
    <t>James Erhardt</t>
  </si>
  <si>
    <t>TOTAL ALL OTHER WRITE-INS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</si>
</sst>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9" x14ac:knownFonts="1">
    <font>
      <sz val="11"/>
      <color theme="1"/>
      <name val="Calibri"/>
      <family val="2"/>
      <scheme val="minor"/>
    </font>
    <font>
      <b/>
      <sz val="26"/>
      <name val="Arial"/>
      <family val="2"/>
    </font>
    <font>
      <sz val="22"/>
      <name val="Arial"/>
      <family val="2"/>
    </font>
    <font>
      <b/>
      <sz val="16"/>
      <name val="Arial"/>
      <family val="2"/>
    </font>
    <font>
      <b/>
      <sz val="16"/>
      <color theme="1"/>
      <name val="Calibri"/>
      <family val="2"/>
      <scheme val="minor"/>
    </font>
    <font>
      <b/>
      <sz val="14"/>
      <name val="Arial"/>
      <family val="2"/>
    </font>
    <font>
      <b/>
      <sz val="14"/>
      <color theme="1"/>
      <name val="Calibri"/>
      <family val="2"/>
      <scheme val="minor"/>
    </font>
    <font>
      <sz val="18"/>
      <color theme="1"/>
      <name val="Calibri"/>
      <family val="2"/>
      <scheme val="minor"/>
    </font>
    <font>
      <b/>
      <sz val="16"/>
      <name val="Calibri"/>
      <family val="2"/>
      <scheme val="minor"/>
    </font>
    <font>
      <b/>
      <sz val="18"/>
      <color theme="1"/>
      <name val="Calibri"/>
      <family val="2"/>
      <scheme val="minor"/>
    </font>
    <font>
      <b/>
      <i/>
      <sz val="18"/>
      <name val="Times New Roman"/>
      <family val="1"/>
    </font>
    <font>
      <b/>
      <sz val="14"/>
      <color theme="1"/>
      <name val="Agency FB"/>
      <family val="2"/>
    </font>
    <font>
      <sz val="18"/>
      <name val="Tahoma"/>
      <family val="2"/>
    </font>
    <font>
      <b/>
      <u/>
      <sz val="14"/>
      <color theme="1"/>
      <name val="Calibri"/>
      <family val="2"/>
      <scheme val="minor"/>
    </font>
    <font>
      <b/>
      <u/>
      <sz val="11"/>
      <color theme="1"/>
      <name val="Calibri"/>
      <family val="2"/>
      <scheme val="minor"/>
    </font>
    <font>
      <b/>
      <sz val="12"/>
      <name val="Times New Roman"/>
      <family val="1"/>
    </font>
    <font>
      <sz val="12"/>
      <color theme="1"/>
      <name val="Times New Roman"/>
      <family val="1"/>
    </font>
    <font>
      <sz val="12"/>
      <name val="Times New Roman"/>
      <family val="1"/>
    </font>
    <font>
      <b/>
      <u/>
      <sz val="12"/>
      <name val="Times New Roman"/>
      <family val="1"/>
    </font>
    <font>
      <b/>
      <sz val="12"/>
      <color theme="1"/>
      <name val="Times New Roman"/>
      <family val="1"/>
    </font>
    <font>
      <b/>
      <u/>
      <sz val="12"/>
      <color theme="1"/>
      <name val="Times New Roman"/>
      <family val="1"/>
    </font>
    <font>
      <b/>
      <i/>
      <sz val="12"/>
      <name val="Times New Roman"/>
      <family val="1"/>
    </font>
    <font>
      <b/>
      <sz val="12"/>
      <color theme="8" tint="0.39997558519241921"/>
      <name val="Times New Roman"/>
      <family val="1"/>
    </font>
    <font>
      <b/>
      <sz val="12"/>
      <color theme="5" tint="-0.249977111117893"/>
      <name val="Times New Roman"/>
      <family val="1"/>
    </font>
    <font>
      <b/>
      <sz val="12"/>
      <color rgb="FF0070C0"/>
      <name val="Times New Roman"/>
      <family val="1"/>
    </font>
    <font>
      <u/>
      <sz val="12"/>
      <name val="Times New Roman"/>
      <family val="1"/>
    </font>
    <font>
      <sz val="11"/>
      <color rgb="FFFF0000"/>
      <name val="Calibri"/>
      <family val="2"/>
      <scheme val="minor"/>
    </font>
    <font>
      <sz val="11"/>
      <name val="Calibri"/>
      <family val="2"/>
      <scheme val="minor"/>
    </font>
    <font>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diagonal/>
    </border>
    <border>
      <left/>
      <right/>
      <top style="medium">
        <color rgb="FFFF0000"/>
      </top>
      <bottom style="medium">
        <color rgb="FFFF0000"/>
      </bottom>
      <diagonal/>
    </border>
    <border>
      <left style="thin">
        <color rgb="FFFF0000"/>
      </left>
      <right style="thin">
        <color rgb="FFFF0000"/>
      </right>
      <top style="thin">
        <color rgb="FFFF0000"/>
      </top>
      <bottom/>
      <diagonal/>
    </border>
    <border>
      <left style="thin">
        <color rgb="FFFF0000"/>
      </left>
      <right style="thin">
        <color rgb="FFFF0000"/>
      </right>
      <top style="thin">
        <color rgb="FFFF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0" borderId="0" xfId="0" applyFont="1" applyAlignment="1">
      <alignment horizontal="center"/>
    </xf>
    <xf numFmtId="0" fontId="4" fillId="0" borderId="0" xfId="0" applyFont="1"/>
    <xf numFmtId="0" fontId="6" fillId="0" borderId="0" xfId="0" applyFont="1"/>
    <xf numFmtId="0" fontId="0" fillId="0" borderId="0" xfId="0" applyBorder="1"/>
    <xf numFmtId="0" fontId="7" fillId="0" borderId="0" xfId="0" applyFont="1"/>
    <xf numFmtId="0" fontId="4" fillId="0" borderId="0" xfId="0" applyFont="1" applyBorder="1"/>
    <xf numFmtId="0" fontId="8" fillId="0" borderId="0" xfId="0" applyFont="1"/>
    <xf numFmtId="0" fontId="9" fillId="0" borderId="2" xfId="0" applyFont="1" applyBorder="1"/>
    <xf numFmtId="1" fontId="7" fillId="0" borderId="4" xfId="0" applyNumberFormat="1" applyFont="1" applyBorder="1" applyAlignment="1">
      <alignment horizontal="center"/>
    </xf>
    <xf numFmtId="0" fontId="9" fillId="0" borderId="5" xfId="0" applyFont="1" applyBorder="1"/>
    <xf numFmtId="0" fontId="9" fillId="2" borderId="1" xfId="0" applyFont="1" applyFill="1" applyBorder="1" applyAlignment="1">
      <alignment horizontal="center"/>
    </xf>
    <xf numFmtId="0" fontId="9" fillId="0" borderId="7" xfId="0" applyFont="1" applyBorder="1"/>
    <xf numFmtId="9" fontId="7" fillId="0" borderId="9" xfId="0" applyNumberFormat="1" applyFont="1" applyBorder="1" applyAlignment="1">
      <alignment horizontal="center"/>
    </xf>
    <xf numFmtId="0" fontId="11" fillId="0" borderId="0" xfId="0" applyFont="1"/>
    <xf numFmtId="0" fontId="5" fillId="0" borderId="0" xfId="0" applyFont="1" applyBorder="1" applyAlignment="1">
      <alignment horizontal="right"/>
    </xf>
    <xf numFmtId="0" fontId="13" fillId="0" borderId="0" xfId="0" applyFont="1"/>
    <xf numFmtId="0" fontId="14" fillId="0" borderId="0" xfId="0" applyFont="1"/>
    <xf numFmtId="0" fontId="0" fillId="0" borderId="0" xfId="0" applyAlignment="1">
      <alignment horizontal="center"/>
    </xf>
    <xf numFmtId="0" fontId="14" fillId="0" borderId="0" xfId="0" applyFont="1" applyAlignment="1">
      <alignment horizontal="center"/>
    </xf>
    <xf numFmtId="0" fontId="1" fillId="0" borderId="0" xfId="0" applyFont="1" applyFill="1" applyAlignment="1">
      <alignment horizontal="center"/>
    </xf>
    <xf numFmtId="0" fontId="2" fillId="0" borderId="0" xfId="0" applyFont="1" applyAlignment="1">
      <alignment horizontal="center"/>
    </xf>
    <xf numFmtId="0" fontId="12" fillId="0" borderId="0" xfId="0" applyFont="1" applyAlignment="1">
      <alignment wrapText="1"/>
    </xf>
    <xf numFmtId="0" fontId="6" fillId="0" borderId="0" xfId="0" applyFont="1" applyBorder="1"/>
    <xf numFmtId="0" fontId="0" fillId="0" borderId="0" xfId="0" applyBorder="1" applyAlignment="1">
      <alignment horizontal="center"/>
    </xf>
    <xf numFmtId="0" fontId="10" fillId="0" borderId="13" xfId="0" applyFont="1" applyBorder="1"/>
    <xf numFmtId="0" fontId="10" fillId="0" borderId="14" xfId="0" applyFont="1" applyBorder="1"/>
    <xf numFmtId="0" fontId="10" fillId="0" borderId="15" xfId="0" applyFont="1" applyBorder="1"/>
    <xf numFmtId="0" fontId="9" fillId="0" borderId="0" xfId="0" applyFont="1" applyBorder="1"/>
    <xf numFmtId="0" fontId="0" fillId="0" borderId="0" xfId="0" applyFill="1"/>
    <xf numFmtId="0" fontId="16" fillId="0" borderId="0" xfId="0" applyFont="1"/>
    <xf numFmtId="0" fontId="17" fillId="0" borderId="0" xfId="0" applyFont="1" applyAlignment="1">
      <alignment horizontal="center"/>
    </xf>
    <xf numFmtId="0" fontId="18" fillId="0" borderId="0" xfId="0" applyFont="1" applyAlignment="1">
      <alignment horizontal="center"/>
    </xf>
    <xf numFmtId="0" fontId="18" fillId="0" borderId="0" xfId="0" applyFont="1"/>
    <xf numFmtId="0" fontId="19" fillId="0" borderId="0" xfId="0" applyFont="1"/>
    <xf numFmtId="0" fontId="17" fillId="0" borderId="1" xfId="0" applyFont="1" applyBorder="1" applyAlignment="1">
      <alignment horizontal="center"/>
    </xf>
    <xf numFmtId="1" fontId="16" fillId="0" borderId="1" xfId="0" applyNumberFormat="1" applyFont="1" applyBorder="1" applyAlignment="1">
      <alignment horizontal="center"/>
    </xf>
    <xf numFmtId="1" fontId="16" fillId="0" borderId="0" xfId="0" applyNumberFormat="1" applyFont="1" applyBorder="1" applyAlignment="1">
      <alignment horizontal="center"/>
    </xf>
    <xf numFmtId="0" fontId="15" fillId="0" borderId="0" xfId="0" applyFont="1"/>
    <xf numFmtId="0" fontId="20" fillId="0" borderId="0" xfId="0" applyFont="1"/>
    <xf numFmtId="0" fontId="19" fillId="0" borderId="0" xfId="0" applyFont="1" applyBorder="1"/>
    <xf numFmtId="0" fontId="16" fillId="0" borderId="0" xfId="0" applyFont="1" applyBorder="1"/>
    <xf numFmtId="0" fontId="15" fillId="0" borderId="0" xfId="0" applyFont="1" applyFill="1" applyBorder="1"/>
    <xf numFmtId="0" fontId="21" fillId="0" borderId="13" xfId="0" applyFont="1" applyBorder="1"/>
    <xf numFmtId="1" fontId="16" fillId="0" borderId="4" xfId="0" applyNumberFormat="1" applyFont="1" applyBorder="1" applyAlignment="1">
      <alignment horizontal="center"/>
    </xf>
    <xf numFmtId="0" fontId="21" fillId="0" borderId="14" xfId="0" applyFont="1" applyBorder="1"/>
    <xf numFmtId="0" fontId="19" fillId="2" borderId="1" xfId="0" applyFont="1" applyFill="1" applyBorder="1" applyAlignment="1">
      <alignment horizontal="center"/>
    </xf>
    <xf numFmtId="0" fontId="21" fillId="0" borderId="15" xfId="0" applyFont="1" applyBorder="1"/>
    <xf numFmtId="9" fontId="16" fillId="0" borderId="9" xfId="0" applyNumberFormat="1" applyFont="1" applyBorder="1" applyAlignment="1">
      <alignment horizontal="center"/>
    </xf>
    <xf numFmtId="0" fontId="21" fillId="0" borderId="3" xfId="0" applyFont="1" applyBorder="1"/>
    <xf numFmtId="0" fontId="21" fillId="0" borderId="0" xfId="0" applyFont="1" applyBorder="1"/>
    <xf numFmtId="0" fontId="21" fillId="0" borderId="8" xfId="0" applyFont="1" applyBorder="1"/>
    <xf numFmtId="0" fontId="15" fillId="0" borderId="0" xfId="0" applyFont="1" applyFill="1" applyAlignment="1">
      <alignment horizontal="center"/>
    </xf>
    <xf numFmtId="0" fontId="15" fillId="0" borderId="0" xfId="0" applyFont="1" applyAlignment="1">
      <alignment horizontal="center"/>
    </xf>
    <xf numFmtId="0" fontId="17" fillId="0" borderId="0" xfId="0" applyFont="1"/>
    <xf numFmtId="0" fontId="18" fillId="0" borderId="0" xfId="0" applyFont="1" applyFill="1" applyBorder="1"/>
    <xf numFmtId="0" fontId="19" fillId="2" borderId="6" xfId="0" applyFont="1" applyFill="1" applyBorder="1" applyAlignment="1">
      <alignment horizontal="center"/>
    </xf>
    <xf numFmtId="0" fontId="15" fillId="0" borderId="0" xfId="0" applyFont="1" applyBorder="1" applyAlignment="1">
      <alignment horizontal="right"/>
    </xf>
    <xf numFmtId="0" fontId="16" fillId="0" borderId="0" xfId="0" applyFont="1" applyBorder="1" applyAlignment="1">
      <alignment horizontal="center"/>
    </xf>
    <xf numFmtId="0" fontId="17" fillId="0" borderId="17" xfId="0" applyFont="1" applyBorder="1" applyAlignment="1">
      <alignment horizontal="center"/>
    </xf>
    <xf numFmtId="1" fontId="16" fillId="0" borderId="19" xfId="0" applyNumberFormat="1" applyFont="1" applyBorder="1" applyAlignment="1">
      <alignment horizontal="center"/>
    </xf>
    <xf numFmtId="0" fontId="19" fillId="2" borderId="20" xfId="0" applyFont="1" applyFill="1" applyBorder="1" applyAlignment="1">
      <alignment horizontal="center"/>
    </xf>
    <xf numFmtId="9" fontId="16" fillId="0" borderId="18" xfId="0" applyNumberFormat="1" applyFont="1" applyBorder="1" applyAlignment="1">
      <alignment horizontal="center"/>
    </xf>
    <xf numFmtId="0" fontId="21" fillId="0" borderId="21" xfId="0" applyFont="1" applyBorder="1"/>
    <xf numFmtId="0" fontId="21" fillId="0" borderId="22" xfId="0" applyFont="1" applyBorder="1"/>
    <xf numFmtId="0" fontId="21" fillId="0" borderId="23" xfId="0" applyFont="1" applyBorder="1"/>
    <xf numFmtId="1" fontId="16" fillId="0" borderId="16" xfId="0" applyNumberFormat="1" applyFont="1" applyBorder="1" applyAlignment="1">
      <alignment horizontal="center"/>
    </xf>
    <xf numFmtId="0" fontId="17" fillId="0" borderId="16" xfId="0" applyFont="1" applyBorder="1" applyAlignment="1">
      <alignment horizontal="center"/>
    </xf>
    <xf numFmtId="0" fontId="0" fillId="0" borderId="24" xfId="0" applyBorder="1"/>
    <xf numFmtId="0" fontId="26" fillId="0" borderId="0" xfId="0" applyFont="1"/>
    <xf numFmtId="0" fontId="27" fillId="0" borderId="0" xfId="0" applyFont="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28" fillId="0" borderId="0" xfId="0" applyFont="1"/>
    <xf numFmtId="0" fontId="14" fillId="0" borderId="34" xfId="0" applyFont="1" applyBorder="1"/>
    <xf numFmtId="0" fontId="14" fillId="0" borderId="35" xfId="0" applyFont="1" applyBorder="1"/>
    <xf numFmtId="0" fontId="0" fillId="0" borderId="37" xfId="0" applyBorder="1"/>
    <xf numFmtId="0" fontId="0" fillId="0" borderId="36" xfId="0" applyBorder="1"/>
    <xf numFmtId="0" fontId="26" fillId="0" borderId="36" xfId="0" applyFont="1" applyBorder="1"/>
    <xf numFmtId="0" fontId="27" fillId="0" borderId="36" xfId="0" applyFont="1" applyBorder="1"/>
    <xf numFmtId="0" fontId="28" fillId="0" borderId="35" xfId="0" applyFont="1" applyBorder="1"/>
    <xf numFmtId="0" fontId="27" fillId="0" borderId="34" xfId="0" applyFont="1" applyBorder="1"/>
    <xf numFmtId="0" fontId="27" fillId="0" borderId="38" xfId="0" applyFont="1" applyBorder="1"/>
    <xf numFmtId="0" fontId="27" fillId="0" borderId="35" xfId="0" applyFont="1" applyBorder="1"/>
    <xf numFmtId="0" fontId="0" fillId="0" borderId="39" xfId="0" applyBorder="1"/>
    <xf numFmtId="0" fontId="27" fillId="0" borderId="39" xfId="0" applyFont="1" applyBorder="1"/>
    <xf numFmtId="0" fontId="0" fillId="0" borderId="1" xfId="0" applyFont="1" applyBorder="1"/>
    <xf numFmtId="0" fontId="0" fillId="0" borderId="16" xfId="0" applyFont="1" applyBorder="1"/>
    <xf numFmtId="0" fontId="0" fillId="0" borderId="40" xfId="0" applyFont="1" applyBorder="1"/>
    <xf numFmtId="0" fontId="0" fillId="0" borderId="17" xfId="0" applyFont="1" applyBorder="1"/>
    <xf numFmtId="0" fontId="0" fillId="0" borderId="41" xfId="0" applyFont="1" applyBorder="1"/>
    <xf numFmtId="0" fontId="0" fillId="0" borderId="42" xfId="0" applyFont="1" applyBorder="1"/>
    <xf numFmtId="0" fontId="0" fillId="0" borderId="43" xfId="0" applyFont="1" applyBorder="1"/>
    <xf numFmtId="0" fontId="23" fillId="0" borderId="0" xfId="0" applyFont="1" applyFill="1" applyAlignment="1">
      <alignment horizontal="center"/>
    </xf>
    <xf numFmtId="164" fontId="17" fillId="0" borderId="0" xfId="0" applyNumberFormat="1" applyFont="1" applyAlignment="1">
      <alignment horizont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10" xfId="0" applyFont="1" applyBorder="1" applyAlignment="1">
      <alignment horizontal="left" vertical="top" wrapText="1"/>
    </xf>
    <xf numFmtId="0" fontId="17" fillId="0" borderId="5" xfId="0" applyFont="1" applyBorder="1" applyAlignment="1">
      <alignment horizontal="left" vertical="top" wrapText="1"/>
    </xf>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12" xfId="0" applyFont="1" applyBorder="1" applyAlignment="1">
      <alignment horizontal="left" vertical="top" wrapText="1"/>
    </xf>
    <xf numFmtId="0" fontId="15" fillId="0" borderId="0" xfId="0" applyFont="1" applyFill="1" applyAlignment="1">
      <alignment horizontal="center"/>
    </xf>
    <xf numFmtId="0" fontId="15" fillId="0" borderId="0" xfId="0" applyFont="1" applyAlignment="1">
      <alignment horizontal="center"/>
    </xf>
    <xf numFmtId="0" fontId="24" fillId="3" borderId="0" xfId="0" applyFont="1" applyFill="1" applyAlignment="1">
      <alignment horizontal="center"/>
    </xf>
    <xf numFmtId="0" fontId="22" fillId="3" borderId="0" xfId="0" applyFont="1" applyFill="1" applyAlignment="1">
      <alignment horizontal="center"/>
    </xf>
    <xf numFmtId="0" fontId="15" fillId="3" borderId="0" xfId="0" applyFont="1" applyFill="1" applyAlignment="1">
      <alignment horizontal="center"/>
    </xf>
    <xf numFmtId="0" fontId="0" fillId="0" borderId="0" xfId="0" applyAlignment="1">
      <alignment horizontal="center" vertical="top" wrapText="1"/>
    </xf>
    <xf numFmtId="0" fontId="0" fillId="0" borderId="0" xfId="0" applyAlignment="1">
      <alignment horizontal="center" vertical="top"/>
    </xf>
  </cellXfs>
  <cellStyles count="1">
    <cellStyle name="Normal" xfId="0" builtinId="0"/>
  </cellStyles>
  <dxfs count="0"/>
  <tableStyles count="0" defaultTableStyle="TableStyleMedium2" defaultPivotStyle="PivotStyleLight16"/>
  <colors>
    <mruColors>
      <color rgb="FF8649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workbookViewId="0">
      <selection activeCell="D35" sqref="D35"/>
    </sheetView>
  </sheetViews>
  <sheetFormatPr defaultRowHeight="18.75" x14ac:dyDescent="0.3"/>
  <cols>
    <col min="1" max="1" width="3" style="3" customWidth="1"/>
    <col min="2" max="2" width="42.42578125" customWidth="1"/>
    <col min="3" max="3" width="19.7109375" customWidth="1"/>
    <col min="4" max="4" width="21.7109375" customWidth="1"/>
    <col min="5" max="5" width="25.28515625" customWidth="1"/>
    <col min="6" max="6" width="22.85546875" customWidth="1"/>
    <col min="7" max="7" width="2.85546875" customWidth="1"/>
    <col min="9" max="9" width="12.7109375" customWidth="1"/>
  </cols>
  <sheetData>
    <row r="1" spans="1:7" ht="30" customHeight="1" x14ac:dyDescent="0.5">
      <c r="A1" s="20"/>
      <c r="B1" s="111" t="s">
        <v>10</v>
      </c>
      <c r="C1" s="111"/>
      <c r="D1" s="111"/>
      <c r="E1" s="111"/>
      <c r="F1" s="111"/>
      <c r="G1" s="111"/>
    </row>
    <row r="2" spans="1:7" ht="30" customHeight="1" x14ac:dyDescent="0.5">
      <c r="A2" s="20"/>
      <c r="B2" s="100" t="s">
        <v>11</v>
      </c>
      <c r="C2" s="100"/>
      <c r="D2" s="100"/>
      <c r="E2" s="100"/>
      <c r="F2" s="100"/>
      <c r="G2" s="30"/>
    </row>
    <row r="3" spans="1:7" ht="25.15" customHeight="1" x14ac:dyDescent="0.35">
      <c r="A3" s="21"/>
      <c r="B3" s="101">
        <v>45356</v>
      </c>
      <c r="C3" s="101"/>
      <c r="D3" s="101"/>
      <c r="E3" s="101"/>
      <c r="F3" s="101"/>
      <c r="G3" s="30"/>
    </row>
    <row r="4" spans="1:7" ht="15" customHeight="1" x14ac:dyDescent="0.3">
      <c r="A4" s="1"/>
      <c r="B4" s="31"/>
      <c r="C4" s="31"/>
      <c r="D4" s="31"/>
      <c r="E4" s="31"/>
      <c r="F4" s="31"/>
      <c r="G4" s="30"/>
    </row>
    <row r="5" spans="1:7" ht="19.899999999999999" customHeight="1" x14ac:dyDescent="0.35">
      <c r="A5" s="2"/>
      <c r="B5" s="30"/>
      <c r="C5" s="32" t="s">
        <v>0</v>
      </c>
      <c r="D5" s="32" t="s">
        <v>1</v>
      </c>
      <c r="E5" s="32" t="s">
        <v>2</v>
      </c>
      <c r="F5" s="32" t="s">
        <v>3</v>
      </c>
      <c r="G5" s="30"/>
    </row>
    <row r="6" spans="1:7" ht="19.899999999999999" customHeight="1" x14ac:dyDescent="0.35">
      <c r="A6" s="2"/>
      <c r="B6" s="33" t="s">
        <v>12</v>
      </c>
      <c r="C6" s="32"/>
      <c r="D6" s="32"/>
      <c r="E6" s="32"/>
      <c r="F6" s="32"/>
      <c r="G6" s="30"/>
    </row>
    <row r="7" spans="1:7" ht="19.899999999999999" customHeight="1" x14ac:dyDescent="0.35">
      <c r="A7" s="2"/>
      <c r="B7" s="34" t="s">
        <v>13</v>
      </c>
      <c r="C7" s="32"/>
      <c r="D7" s="32"/>
      <c r="E7" s="32"/>
      <c r="F7" s="32"/>
      <c r="G7" s="30"/>
    </row>
    <row r="8" spans="1:7" ht="19.899999999999999" customHeight="1" x14ac:dyDescent="0.35">
      <c r="A8" s="2"/>
      <c r="B8" s="34" t="s">
        <v>35</v>
      </c>
      <c r="C8" s="35">
        <f>1+20</f>
        <v>21</v>
      </c>
      <c r="D8" s="35">
        <f>4+13+1</f>
        <v>18</v>
      </c>
      <c r="E8" s="35">
        <f>17+2</f>
        <v>19</v>
      </c>
      <c r="F8" s="35">
        <f>SUM(C8+D8+E8)</f>
        <v>58</v>
      </c>
      <c r="G8" s="30"/>
    </row>
    <row r="9" spans="1:7" ht="19.899999999999999" customHeight="1" x14ac:dyDescent="0.35">
      <c r="A9" s="2"/>
      <c r="B9" s="34" t="s">
        <v>14</v>
      </c>
      <c r="C9" s="35">
        <f>99+176+3</f>
        <v>278</v>
      </c>
      <c r="D9" s="35">
        <f>82+167</f>
        <v>249</v>
      </c>
      <c r="E9" s="35">
        <f>164+93+2</f>
        <v>259</v>
      </c>
      <c r="F9" s="35">
        <f t="shared" ref="F9:F14" si="0">SUM(C9+D9+E9)</f>
        <v>786</v>
      </c>
      <c r="G9" s="30"/>
    </row>
    <row r="10" spans="1:7" ht="19.899999999999999" customHeight="1" x14ac:dyDescent="0.35">
      <c r="A10" s="2"/>
      <c r="B10" s="34" t="s">
        <v>15</v>
      </c>
      <c r="C10" s="35">
        <f>3+9</f>
        <v>12</v>
      </c>
      <c r="D10" s="35">
        <f>1+4</f>
        <v>5</v>
      </c>
      <c r="E10" s="35">
        <f>8+4</f>
        <v>12</v>
      </c>
      <c r="F10" s="35">
        <f t="shared" si="0"/>
        <v>29</v>
      </c>
      <c r="G10" s="30"/>
    </row>
    <row r="11" spans="1:7" ht="19.899999999999999" customHeight="1" x14ac:dyDescent="0.3">
      <c r="A11" s="1"/>
      <c r="B11" s="34" t="s">
        <v>16</v>
      </c>
      <c r="C11" s="35">
        <f>12+7</f>
        <v>19</v>
      </c>
      <c r="D11" s="35">
        <f>15+6</f>
        <v>21</v>
      </c>
      <c r="E11" s="35">
        <f>10+12+2</f>
        <v>24</v>
      </c>
      <c r="F11" s="35">
        <f t="shared" si="0"/>
        <v>64</v>
      </c>
      <c r="G11" s="30"/>
    </row>
    <row r="12" spans="1:7" ht="19.899999999999999" customHeight="1" x14ac:dyDescent="0.3">
      <c r="A12" s="1"/>
      <c r="B12" s="34" t="s">
        <v>4</v>
      </c>
      <c r="C12" s="35">
        <f>0+1</f>
        <v>1</v>
      </c>
      <c r="D12" s="35">
        <f>1+0+3</f>
        <v>4</v>
      </c>
      <c r="E12" s="35">
        <f>2</f>
        <v>2</v>
      </c>
      <c r="F12" s="35">
        <f t="shared" si="0"/>
        <v>7</v>
      </c>
      <c r="G12" s="30"/>
    </row>
    <row r="13" spans="1:7" ht="19.899999999999999" customHeight="1" x14ac:dyDescent="0.3">
      <c r="A13" s="1"/>
      <c r="B13" s="34" t="s">
        <v>17</v>
      </c>
      <c r="C13" s="35">
        <f>2+2</f>
        <v>4</v>
      </c>
      <c r="D13" s="35">
        <f>1+3</f>
        <v>4</v>
      </c>
      <c r="E13" s="35">
        <f>4</f>
        <v>4</v>
      </c>
      <c r="F13" s="35">
        <f t="shared" si="0"/>
        <v>12</v>
      </c>
      <c r="G13" s="30"/>
    </row>
    <row r="14" spans="1:7" ht="19.899999999999999" customHeight="1" x14ac:dyDescent="0.3">
      <c r="A14" s="1"/>
      <c r="B14" s="34" t="s">
        <v>56</v>
      </c>
      <c r="C14" s="35">
        <f>SUM(C8:C13)</f>
        <v>335</v>
      </c>
      <c r="D14" s="35">
        <f t="shared" ref="D14:E14" si="1">SUM(D8:D13)</f>
        <v>301</v>
      </c>
      <c r="E14" s="35">
        <f t="shared" si="1"/>
        <v>320</v>
      </c>
      <c r="F14" s="35">
        <f t="shared" si="0"/>
        <v>956</v>
      </c>
      <c r="G14" s="30"/>
    </row>
    <row r="15" spans="1:7" ht="19.899999999999999" customHeight="1" x14ac:dyDescent="0.3">
      <c r="A15" s="1"/>
      <c r="B15" s="34"/>
      <c r="C15" s="37"/>
      <c r="D15" s="37"/>
      <c r="E15" s="37"/>
      <c r="F15" s="37"/>
      <c r="G15" s="30"/>
    </row>
    <row r="16" spans="1:7" ht="19.899999999999999" customHeight="1" x14ac:dyDescent="0.35">
      <c r="A16" s="2"/>
      <c r="B16" s="30"/>
      <c r="C16" s="32" t="s">
        <v>0</v>
      </c>
      <c r="D16" s="32" t="s">
        <v>1</v>
      </c>
      <c r="E16" s="32" t="s">
        <v>2</v>
      </c>
      <c r="F16" s="32" t="s">
        <v>3</v>
      </c>
      <c r="G16" s="30"/>
    </row>
    <row r="17" spans="1:7" ht="19.899999999999999" customHeight="1" x14ac:dyDescent="0.35">
      <c r="A17" s="2"/>
      <c r="B17" s="33" t="s">
        <v>18</v>
      </c>
      <c r="C17" s="32"/>
      <c r="D17" s="32"/>
      <c r="E17" s="32"/>
      <c r="F17" s="32"/>
      <c r="G17" s="30"/>
    </row>
    <row r="18" spans="1:7" ht="19.899999999999999" customHeight="1" x14ac:dyDescent="0.35">
      <c r="A18" s="2"/>
      <c r="B18" s="34" t="s">
        <v>13</v>
      </c>
      <c r="C18" s="32"/>
      <c r="D18" s="32"/>
      <c r="E18" s="32"/>
      <c r="F18" s="32"/>
      <c r="G18" s="30"/>
    </row>
    <row r="19" spans="1:7" ht="19.899999999999999" customHeight="1" x14ac:dyDescent="0.35">
      <c r="A19" s="2"/>
      <c r="B19" s="34" t="s">
        <v>36</v>
      </c>
      <c r="C19" s="36">
        <f>91+168+3</f>
        <v>262</v>
      </c>
      <c r="D19" s="36">
        <f>84+154</f>
        <v>238</v>
      </c>
      <c r="E19" s="36">
        <f>148+93+2</f>
        <v>243</v>
      </c>
      <c r="F19" s="36">
        <f>SUM(C19+D19+E19)</f>
        <v>743</v>
      </c>
      <c r="G19" s="30"/>
    </row>
    <row r="20" spans="1:7" ht="19.899999999999999" customHeight="1" x14ac:dyDescent="0.35">
      <c r="A20" s="2"/>
      <c r="B20" s="34" t="s">
        <v>4</v>
      </c>
      <c r="C20" s="36">
        <f>26+44</f>
        <v>70</v>
      </c>
      <c r="D20" s="36">
        <f>19+36+1</f>
        <v>56</v>
      </c>
      <c r="E20" s="36">
        <f>52+23+1</f>
        <v>76</v>
      </c>
      <c r="F20" s="36">
        <f t="shared" ref="F20:F21" si="2">SUM(C20+D20+E20)</f>
        <v>202</v>
      </c>
      <c r="G20" s="30"/>
    </row>
    <row r="21" spans="1:7" ht="19.899999999999999" customHeight="1" x14ac:dyDescent="0.35">
      <c r="A21" s="2"/>
      <c r="B21" s="34" t="s">
        <v>17</v>
      </c>
      <c r="C21" s="36">
        <f>0+3</f>
        <v>3</v>
      </c>
      <c r="D21" s="36">
        <f>1+3+2</f>
        <v>6</v>
      </c>
      <c r="E21" s="36">
        <f>1</f>
        <v>1</v>
      </c>
      <c r="F21" s="36">
        <f t="shared" si="2"/>
        <v>10</v>
      </c>
      <c r="G21" s="30"/>
    </row>
    <row r="22" spans="1:7" ht="19.899999999999999" customHeight="1" x14ac:dyDescent="0.35">
      <c r="A22" s="2"/>
      <c r="B22" s="34" t="s">
        <v>56</v>
      </c>
      <c r="C22" s="36">
        <f>SUM(C19:C21)</f>
        <v>335</v>
      </c>
      <c r="D22" s="36">
        <f t="shared" ref="D22:F22" si="3">SUM(D19:D21)</f>
        <v>300</v>
      </c>
      <c r="E22" s="36">
        <f t="shared" si="3"/>
        <v>320</v>
      </c>
      <c r="F22" s="36">
        <f t="shared" si="3"/>
        <v>955</v>
      </c>
      <c r="G22" s="30"/>
    </row>
    <row r="23" spans="1:7" ht="19.899999999999999" customHeight="1" x14ac:dyDescent="0.35">
      <c r="A23" s="2"/>
      <c r="B23" s="34"/>
      <c r="C23" s="37"/>
      <c r="D23" s="37"/>
      <c r="E23" s="37"/>
      <c r="F23" s="37"/>
      <c r="G23" s="30"/>
    </row>
    <row r="24" spans="1:7" ht="19.899999999999999" customHeight="1" x14ac:dyDescent="0.35">
      <c r="A24" s="2"/>
      <c r="B24" s="30"/>
      <c r="C24" s="32" t="s">
        <v>0</v>
      </c>
      <c r="D24" s="32" t="s">
        <v>1</v>
      </c>
      <c r="E24" s="32" t="s">
        <v>2</v>
      </c>
      <c r="F24" s="32" t="s">
        <v>3</v>
      </c>
      <c r="G24" s="30"/>
    </row>
    <row r="25" spans="1:7" ht="19.899999999999999" customHeight="1" x14ac:dyDescent="0.35">
      <c r="A25" s="2"/>
      <c r="B25" s="33" t="s">
        <v>19</v>
      </c>
      <c r="C25" s="32"/>
      <c r="D25" s="32"/>
      <c r="E25" s="32"/>
      <c r="F25" s="32"/>
      <c r="G25" s="30"/>
    </row>
    <row r="26" spans="1:7" ht="19.899999999999999" customHeight="1" x14ac:dyDescent="0.35">
      <c r="A26" s="2"/>
      <c r="B26" s="34" t="s">
        <v>13</v>
      </c>
      <c r="C26" s="32"/>
      <c r="D26" s="32"/>
      <c r="E26" s="32"/>
      <c r="F26" s="32"/>
      <c r="G26" s="30"/>
    </row>
    <row r="27" spans="1:7" ht="19.899999999999999" customHeight="1" x14ac:dyDescent="0.35">
      <c r="A27" s="2"/>
      <c r="B27" s="38" t="s">
        <v>37</v>
      </c>
      <c r="C27" s="36">
        <f>95+174+3</f>
        <v>272</v>
      </c>
      <c r="D27" s="36">
        <f>88+156</f>
        <v>244</v>
      </c>
      <c r="E27" s="36">
        <f>153+96+2</f>
        <v>251</v>
      </c>
      <c r="F27" s="36">
        <f>SUM(C27+D27+E27)</f>
        <v>767</v>
      </c>
      <c r="G27" s="30"/>
    </row>
    <row r="28" spans="1:7" ht="19.899999999999999" customHeight="1" x14ac:dyDescent="0.35">
      <c r="A28" s="2"/>
      <c r="B28" s="34" t="s">
        <v>4</v>
      </c>
      <c r="C28" s="36">
        <f>22+41</f>
        <v>63</v>
      </c>
      <c r="D28" s="36">
        <f>15+35+1</f>
        <v>51</v>
      </c>
      <c r="E28" s="36">
        <f>48+20</f>
        <v>68</v>
      </c>
      <c r="F28" s="36">
        <f t="shared" ref="F28:F30" si="4">SUM(C28+D28+E28)</f>
        <v>182</v>
      </c>
      <c r="G28" s="30"/>
    </row>
    <row r="29" spans="1:7" ht="19.899999999999999" customHeight="1" x14ac:dyDescent="0.35">
      <c r="A29" s="2"/>
      <c r="B29" s="38" t="s">
        <v>17</v>
      </c>
      <c r="C29" s="36">
        <f>0+0</f>
        <v>0</v>
      </c>
      <c r="D29" s="36">
        <f>1+2+2</f>
        <v>5</v>
      </c>
      <c r="E29" s="36">
        <f>1+0</f>
        <v>1</v>
      </c>
      <c r="F29" s="36">
        <f t="shared" si="4"/>
        <v>6</v>
      </c>
      <c r="G29" s="30"/>
    </row>
    <row r="30" spans="1:7" ht="19.899999999999999" customHeight="1" x14ac:dyDescent="0.35">
      <c r="A30" s="2"/>
      <c r="B30" s="38" t="s">
        <v>56</v>
      </c>
      <c r="C30" s="36">
        <f>SUM(C27:C29)</f>
        <v>335</v>
      </c>
      <c r="D30" s="36">
        <f t="shared" ref="D30:E30" si="5">SUM(D27:D29)</f>
        <v>300</v>
      </c>
      <c r="E30" s="36">
        <f t="shared" si="5"/>
        <v>320</v>
      </c>
      <c r="F30" s="36">
        <f t="shared" si="4"/>
        <v>955</v>
      </c>
      <c r="G30" s="30"/>
    </row>
    <row r="31" spans="1:7" ht="19.899999999999999" customHeight="1" x14ac:dyDescent="0.35">
      <c r="A31" s="2"/>
      <c r="B31" s="30"/>
      <c r="C31" s="37"/>
      <c r="D31" s="37"/>
      <c r="E31" s="37"/>
      <c r="F31" s="37"/>
      <c r="G31" s="30"/>
    </row>
    <row r="32" spans="1:7" ht="19.899999999999999" customHeight="1" x14ac:dyDescent="0.35">
      <c r="A32" s="2"/>
      <c r="B32" s="34"/>
      <c r="C32" s="32" t="s">
        <v>0</v>
      </c>
      <c r="D32" s="32" t="s">
        <v>1</v>
      </c>
      <c r="E32" s="32" t="s">
        <v>2</v>
      </c>
      <c r="F32" s="32" t="s">
        <v>3</v>
      </c>
      <c r="G32" s="30"/>
    </row>
    <row r="33" spans="1:7" ht="19.899999999999999" customHeight="1" x14ac:dyDescent="0.35">
      <c r="A33" s="2"/>
      <c r="B33" s="39" t="s">
        <v>20</v>
      </c>
      <c r="C33" s="32"/>
      <c r="D33" s="32"/>
      <c r="E33" s="32"/>
      <c r="F33" s="32"/>
      <c r="G33" s="30"/>
    </row>
    <row r="34" spans="1:7" ht="19.899999999999999" customHeight="1" x14ac:dyDescent="0.35">
      <c r="A34" s="2"/>
      <c r="B34" s="34" t="s">
        <v>21</v>
      </c>
      <c r="C34" s="32"/>
      <c r="D34" s="32"/>
      <c r="E34" s="32"/>
      <c r="F34" s="32"/>
      <c r="G34" s="30"/>
    </row>
    <row r="35" spans="1:7" ht="19.899999999999999" customHeight="1" x14ac:dyDescent="0.35">
      <c r="A35" s="2"/>
      <c r="B35" s="40" t="s">
        <v>38</v>
      </c>
      <c r="C35" s="35">
        <v>0</v>
      </c>
      <c r="D35" s="35">
        <v>10</v>
      </c>
      <c r="E35" s="35">
        <v>12</v>
      </c>
      <c r="F35" s="35">
        <f>SUM(C35+D35+E35)</f>
        <v>22</v>
      </c>
      <c r="G35" s="30"/>
    </row>
    <row r="36" spans="1:7" s="4" customFormat="1" ht="20.25" customHeight="1" x14ac:dyDescent="0.35">
      <c r="A36" s="6"/>
      <c r="B36" s="40" t="s">
        <v>4</v>
      </c>
      <c r="C36" s="35">
        <f>4073+7441</f>
        <v>11514</v>
      </c>
      <c r="D36" s="35">
        <v>0</v>
      </c>
      <c r="E36" s="35">
        <f>7065+4048</f>
        <v>11113</v>
      </c>
      <c r="F36" s="35">
        <f t="shared" ref="F36:F43" si="6">SUM(C36+D36+E36)</f>
        <v>22627</v>
      </c>
      <c r="G36" s="41"/>
    </row>
    <row r="37" spans="1:7" s="4" customFormat="1" ht="20.25" customHeight="1" x14ac:dyDescent="0.35">
      <c r="A37" s="6"/>
      <c r="B37" s="40" t="s">
        <v>61</v>
      </c>
      <c r="C37" s="35">
        <f>22+84</f>
        <v>106</v>
      </c>
      <c r="D37" s="35">
        <f>49+42+48</f>
        <v>139</v>
      </c>
      <c r="E37" s="35">
        <v>5</v>
      </c>
      <c r="F37" s="35">
        <f t="shared" si="6"/>
        <v>250</v>
      </c>
      <c r="G37" s="41"/>
    </row>
    <row r="38" spans="1:7" s="4" customFormat="1" ht="20.25" customHeight="1" x14ac:dyDescent="0.35">
      <c r="A38" s="6"/>
      <c r="B38" s="40" t="s">
        <v>32</v>
      </c>
      <c r="C38" s="36">
        <f>SUM(C35:C37)</f>
        <v>11620</v>
      </c>
      <c r="D38" s="36">
        <f>SUM(D35:D37)</f>
        <v>149</v>
      </c>
      <c r="E38" s="36">
        <f>SUM(E35:E37)</f>
        <v>11130</v>
      </c>
      <c r="F38" s="35">
        <f t="shared" si="6"/>
        <v>22899</v>
      </c>
      <c r="G38" s="41"/>
    </row>
    <row r="39" spans="1:7" ht="19.899999999999999" customHeight="1" x14ac:dyDescent="0.35">
      <c r="A39" s="2"/>
      <c r="B39" s="38" t="s">
        <v>4</v>
      </c>
      <c r="C39" s="66">
        <v>0</v>
      </c>
      <c r="D39" s="66">
        <v>0</v>
      </c>
      <c r="E39" s="66">
        <v>0</v>
      </c>
      <c r="F39" s="67">
        <f t="shared" si="6"/>
        <v>0</v>
      </c>
      <c r="G39" s="30"/>
    </row>
    <row r="40" spans="1:7" ht="19.899999999999999" customHeight="1" x14ac:dyDescent="0.35">
      <c r="A40" s="2"/>
      <c r="B40" s="38" t="s">
        <v>39</v>
      </c>
      <c r="C40" s="36">
        <v>0</v>
      </c>
      <c r="D40" s="36">
        <v>0</v>
      </c>
      <c r="E40" s="36">
        <v>0</v>
      </c>
      <c r="F40" s="35">
        <f t="shared" si="6"/>
        <v>0</v>
      </c>
      <c r="G40" s="30"/>
    </row>
    <row r="41" spans="1:7" ht="19.899999999999999" customHeight="1" x14ac:dyDescent="0.35">
      <c r="A41" s="2"/>
      <c r="B41" s="38" t="s">
        <v>17</v>
      </c>
      <c r="C41" s="36">
        <v>0</v>
      </c>
      <c r="D41" s="36">
        <v>0</v>
      </c>
      <c r="E41" s="36">
        <v>0</v>
      </c>
      <c r="F41" s="35">
        <f t="shared" si="6"/>
        <v>0</v>
      </c>
      <c r="G41" s="30"/>
    </row>
    <row r="42" spans="1:7" ht="19.899999999999999" customHeight="1" x14ac:dyDescent="0.35">
      <c r="A42" s="2"/>
      <c r="B42" s="38" t="s">
        <v>17</v>
      </c>
      <c r="C42" s="36">
        <v>0</v>
      </c>
      <c r="D42" s="36">
        <v>0</v>
      </c>
      <c r="E42" s="36">
        <v>0</v>
      </c>
      <c r="F42" s="35">
        <f t="shared" si="6"/>
        <v>0</v>
      </c>
      <c r="G42" s="30"/>
    </row>
    <row r="43" spans="1:7" ht="19.899999999999999" customHeight="1" x14ac:dyDescent="0.35">
      <c r="A43" s="2"/>
      <c r="B43" s="38" t="s">
        <v>57</v>
      </c>
      <c r="C43" s="36">
        <f>SUM(C39:C42)</f>
        <v>0</v>
      </c>
      <c r="D43" s="36">
        <f>SUM(D39:D42)</f>
        <v>0</v>
      </c>
      <c r="E43" s="36">
        <f>SUM(E39:E42)</f>
        <v>0</v>
      </c>
      <c r="F43" s="35">
        <f t="shared" si="6"/>
        <v>0</v>
      </c>
      <c r="G43" s="30"/>
    </row>
    <row r="44" spans="1:7" ht="21.6" customHeight="1" thickBot="1" x14ac:dyDescent="0.4">
      <c r="A44" s="2"/>
      <c r="B44" s="34"/>
      <c r="C44" s="37"/>
      <c r="D44" s="37"/>
      <c r="E44" s="37"/>
      <c r="F44" s="37"/>
      <c r="G44" s="30"/>
    </row>
    <row r="45" spans="1:7" ht="21" customHeight="1" x14ac:dyDescent="0.35">
      <c r="A45" s="28"/>
      <c r="B45" s="43" t="s">
        <v>7</v>
      </c>
      <c r="C45" s="44">
        <f>399+377</f>
        <v>776</v>
      </c>
      <c r="D45" s="44">
        <f>404+358</f>
        <v>762</v>
      </c>
      <c r="E45" s="44">
        <f>370+406</f>
        <v>776</v>
      </c>
      <c r="F45" s="44">
        <f>SUM(C45+D45+E45)</f>
        <v>2314</v>
      </c>
      <c r="G45" s="30"/>
    </row>
    <row r="46" spans="1:7" ht="21.75" customHeight="1" x14ac:dyDescent="0.35">
      <c r="A46" s="28"/>
      <c r="B46" s="45" t="s">
        <v>8</v>
      </c>
      <c r="C46" s="46">
        <v>2482</v>
      </c>
      <c r="D46" s="46">
        <v>2531</v>
      </c>
      <c r="E46" s="46">
        <v>2371</v>
      </c>
      <c r="F46" s="46">
        <v>7384</v>
      </c>
      <c r="G46" s="30"/>
    </row>
    <row r="47" spans="1:7" ht="18" customHeight="1" thickBot="1" x14ac:dyDescent="0.4">
      <c r="A47" s="28"/>
      <c r="B47" s="47" t="s">
        <v>9</v>
      </c>
      <c r="C47" s="48">
        <f>C45/C46</f>
        <v>0.3126510878323932</v>
      </c>
      <c r="D47" s="48">
        <f t="shared" ref="D47:F47" si="7">D45/D46</f>
        <v>0.30106677202686682</v>
      </c>
      <c r="E47" s="48">
        <f t="shared" si="7"/>
        <v>0.32728806410797134</v>
      </c>
      <c r="F47" s="48">
        <f t="shared" si="7"/>
        <v>0.31338028169014087</v>
      </c>
      <c r="G47" s="30"/>
    </row>
    <row r="48" spans="1:7" ht="28.5" customHeight="1" x14ac:dyDescent="0.3">
      <c r="A48" s="23"/>
      <c r="B48" s="102" t="s">
        <v>62</v>
      </c>
      <c r="C48" s="103"/>
      <c r="D48" s="103"/>
      <c r="E48" s="103"/>
      <c r="F48" s="104"/>
      <c r="G48" s="30"/>
    </row>
    <row r="49" spans="1:7" ht="33" customHeight="1" x14ac:dyDescent="0.3">
      <c r="A49" s="23"/>
      <c r="B49" s="105"/>
      <c r="C49" s="106"/>
      <c r="D49" s="106"/>
      <c r="E49" s="106"/>
      <c r="F49" s="107"/>
      <c r="G49" s="30"/>
    </row>
    <row r="50" spans="1:7" ht="33" customHeight="1" x14ac:dyDescent="0.3">
      <c r="A50" s="23"/>
      <c r="B50" s="105"/>
      <c r="C50" s="106"/>
      <c r="D50" s="106"/>
      <c r="E50" s="106"/>
      <c r="F50" s="107"/>
      <c r="G50" s="30"/>
    </row>
    <row r="51" spans="1:7" ht="33" customHeight="1" x14ac:dyDescent="0.3">
      <c r="A51" s="23"/>
      <c r="B51" s="105"/>
      <c r="C51" s="106"/>
      <c r="D51" s="106"/>
      <c r="E51" s="106"/>
      <c r="F51" s="107"/>
      <c r="G51" s="30"/>
    </row>
    <row r="52" spans="1:7" ht="13.5" customHeight="1" x14ac:dyDescent="0.3">
      <c r="A52" s="23"/>
      <c r="B52" s="105"/>
      <c r="C52" s="106"/>
      <c r="D52" s="106"/>
      <c r="E52" s="106"/>
      <c r="F52" s="107"/>
      <c r="G52" s="30"/>
    </row>
    <row r="53" spans="1:7" ht="39.75" hidden="1" customHeight="1" thickBot="1" x14ac:dyDescent="0.35">
      <c r="A53" s="23"/>
      <c r="B53" s="108"/>
      <c r="C53" s="109"/>
      <c r="D53" s="109"/>
      <c r="E53" s="109"/>
      <c r="F53" s="110"/>
      <c r="G53" s="30"/>
    </row>
    <row r="54" spans="1:7" x14ac:dyDescent="0.3">
      <c r="C54" s="18"/>
      <c r="D54" s="18"/>
      <c r="E54" s="18"/>
      <c r="F54" s="18"/>
    </row>
    <row r="55" spans="1:7" ht="33" customHeight="1" x14ac:dyDescent="0.3">
      <c r="A55" s="22"/>
      <c r="B55" s="16"/>
      <c r="D55" s="18"/>
      <c r="E55" s="18"/>
      <c r="F55" s="18"/>
    </row>
    <row r="56" spans="1:7" ht="33" customHeight="1" x14ac:dyDescent="0.3">
      <c r="B56" s="17"/>
      <c r="D56" s="18"/>
      <c r="E56" s="18"/>
      <c r="F56" s="18"/>
    </row>
    <row r="57" spans="1:7" ht="33" customHeight="1" x14ac:dyDescent="0.3">
      <c r="D57" s="18"/>
      <c r="E57" s="18"/>
      <c r="F57" s="18"/>
    </row>
    <row r="58" spans="1:7" ht="33" customHeight="1" x14ac:dyDescent="0.3">
      <c r="E58" s="18"/>
      <c r="F58" s="18"/>
    </row>
    <row r="59" spans="1:7" ht="33" customHeight="1" x14ac:dyDescent="0.3">
      <c r="E59" s="18"/>
      <c r="F59" s="18"/>
    </row>
    <row r="60" spans="1:7" ht="33" customHeight="1" x14ac:dyDescent="0.3">
      <c r="C60" s="18"/>
      <c r="D60" s="18"/>
      <c r="E60" s="18"/>
      <c r="F60" s="19"/>
    </row>
    <row r="61" spans="1:7" ht="33" customHeight="1" x14ac:dyDescent="0.3">
      <c r="C61" s="18"/>
      <c r="D61" s="18"/>
      <c r="E61" s="18"/>
      <c r="F61" s="18"/>
    </row>
    <row r="62" spans="1:7" ht="33" customHeight="1" x14ac:dyDescent="0.3">
      <c r="C62" s="18"/>
      <c r="D62" s="18"/>
      <c r="E62" s="18"/>
      <c r="F62" s="18"/>
    </row>
    <row r="63" spans="1:7" ht="33" customHeight="1" x14ac:dyDescent="0.3">
      <c r="B63" s="16"/>
      <c r="C63" s="18"/>
      <c r="D63" s="18"/>
      <c r="E63" s="18"/>
      <c r="F63" s="18"/>
    </row>
    <row r="64" spans="1:7" ht="33" customHeight="1" x14ac:dyDescent="0.3">
      <c r="B64" s="17"/>
      <c r="C64" s="18"/>
      <c r="D64" s="18"/>
      <c r="E64" s="18"/>
      <c r="F64" s="18"/>
    </row>
    <row r="65" spans="4:6" ht="33" customHeight="1" x14ac:dyDescent="0.3">
      <c r="D65" s="18"/>
      <c r="E65" s="18"/>
      <c r="F65" s="18"/>
    </row>
    <row r="66" spans="4:6" ht="33" customHeight="1" x14ac:dyDescent="0.3">
      <c r="E66" s="18"/>
      <c r="F66" s="18"/>
    </row>
    <row r="67" spans="4:6" ht="33" customHeight="1" x14ac:dyDescent="0.3"/>
    <row r="68" spans="4:6" ht="33" customHeight="1" x14ac:dyDescent="0.3"/>
    <row r="69" spans="4:6" ht="33" customHeight="1" x14ac:dyDescent="0.3"/>
    <row r="70" spans="4:6" ht="33" customHeight="1" x14ac:dyDescent="0.3"/>
  </sheetData>
  <mergeCells count="4">
    <mergeCell ref="B2:F2"/>
    <mergeCell ref="B3:F3"/>
    <mergeCell ref="B48:F53"/>
    <mergeCell ref="B1:G1"/>
  </mergeCells>
  <pageMargins left="0.7" right="0.7" top="0.75" bottom="0.75" header="0.3" footer="0.3"/>
  <pageSetup paperSize="5"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opLeftCell="A4" workbookViewId="0">
      <selection activeCell="D42" sqref="D42"/>
    </sheetView>
  </sheetViews>
  <sheetFormatPr defaultRowHeight="18.75" x14ac:dyDescent="0.3"/>
  <cols>
    <col min="1" max="1" width="2.7109375" style="3" customWidth="1"/>
    <col min="2" max="2" width="56.7109375" customWidth="1"/>
    <col min="3" max="3" width="31.7109375" customWidth="1"/>
    <col min="4" max="4" width="30.28515625" customWidth="1"/>
    <col min="5" max="5" width="30.140625" customWidth="1"/>
    <col min="6" max="6" width="26.7109375" customWidth="1"/>
    <col min="7" max="7" width="2.85546875" customWidth="1"/>
    <col min="9" max="9" width="12.7109375" customWidth="1"/>
  </cols>
  <sheetData>
    <row r="1" spans="1:9" ht="30" customHeight="1" x14ac:dyDescent="0.25">
      <c r="A1" s="111" t="s">
        <v>33</v>
      </c>
      <c r="B1" s="111"/>
      <c r="C1" s="111"/>
      <c r="D1" s="111"/>
      <c r="E1" s="111"/>
      <c r="F1" s="111"/>
    </row>
    <row r="2" spans="1:9" ht="30" customHeight="1" x14ac:dyDescent="0.25">
      <c r="A2" s="52"/>
      <c r="B2" s="113" t="s">
        <v>22</v>
      </c>
      <c r="C2" s="113"/>
      <c r="D2" s="113"/>
      <c r="E2" s="113"/>
      <c r="F2" s="113"/>
    </row>
    <row r="3" spans="1:9" ht="25.15" customHeight="1" x14ac:dyDescent="0.25">
      <c r="A3" s="112" t="s">
        <v>34</v>
      </c>
      <c r="B3" s="112"/>
      <c r="C3" s="112"/>
      <c r="D3" s="112"/>
      <c r="E3" s="112"/>
      <c r="F3" s="112"/>
    </row>
    <row r="4" spans="1:9" ht="15" customHeight="1" x14ac:dyDescent="0.25">
      <c r="A4" s="53"/>
      <c r="B4" s="31"/>
      <c r="C4" s="31"/>
      <c r="D4" s="31"/>
      <c r="E4" s="31"/>
      <c r="F4" s="31"/>
    </row>
    <row r="5" spans="1:9" ht="19.899999999999999" customHeight="1" x14ac:dyDescent="0.25">
      <c r="A5" s="34"/>
      <c r="B5" s="30"/>
      <c r="C5" s="32" t="s">
        <v>0</v>
      </c>
      <c r="D5" s="32" t="s">
        <v>1</v>
      </c>
      <c r="E5" s="32" t="s">
        <v>2</v>
      </c>
      <c r="F5" s="32" t="s">
        <v>3</v>
      </c>
    </row>
    <row r="6" spans="1:9" ht="19.899999999999999" customHeight="1" x14ac:dyDescent="0.25">
      <c r="A6" s="34"/>
      <c r="B6" s="33" t="s">
        <v>12</v>
      </c>
      <c r="C6" s="32"/>
      <c r="D6" s="32"/>
      <c r="E6" s="32"/>
      <c r="F6" s="32"/>
    </row>
    <row r="7" spans="1:9" ht="19.899999999999999" customHeight="1" x14ac:dyDescent="0.25">
      <c r="A7" s="34"/>
      <c r="B7" s="34" t="s">
        <v>13</v>
      </c>
      <c r="C7" s="32"/>
      <c r="D7" s="32"/>
      <c r="E7" s="32"/>
      <c r="F7" s="32"/>
    </row>
    <row r="8" spans="1:9" ht="19.899999999999999" customHeight="1" x14ac:dyDescent="0.25">
      <c r="A8" s="34"/>
      <c r="B8" s="34" t="s">
        <v>46</v>
      </c>
      <c r="C8" s="36">
        <f>4+4</f>
        <v>8</v>
      </c>
      <c r="D8" s="36">
        <f>0+5</f>
        <v>5</v>
      </c>
      <c r="E8" s="36">
        <f>3+2</f>
        <v>5</v>
      </c>
      <c r="F8" s="36">
        <f>SUM(C8+D8+E8)</f>
        <v>18</v>
      </c>
      <c r="I8" s="29"/>
    </row>
    <row r="9" spans="1:9" ht="19.899999999999999" customHeight="1" x14ac:dyDescent="0.25">
      <c r="A9" s="34"/>
      <c r="B9" s="34" t="s">
        <v>47</v>
      </c>
      <c r="C9" s="36">
        <f>0+0</f>
        <v>0</v>
      </c>
      <c r="D9" s="36">
        <f>0+0</f>
        <v>0</v>
      </c>
      <c r="E9" s="36">
        <f>0+0</f>
        <v>0</v>
      </c>
      <c r="F9" s="36">
        <f t="shared" ref="F9:F17" si="0">SUM(C9+D9+E9)</f>
        <v>0</v>
      </c>
    </row>
    <row r="10" spans="1:9" ht="19.899999999999999" customHeight="1" x14ac:dyDescent="0.25">
      <c r="A10" s="34"/>
      <c r="B10" s="34" t="s">
        <v>48</v>
      </c>
      <c r="C10" s="36">
        <f>0+0</f>
        <v>0</v>
      </c>
      <c r="D10" s="36">
        <f>1+0</f>
        <v>1</v>
      </c>
      <c r="E10" s="36">
        <f>1+1</f>
        <v>2</v>
      </c>
      <c r="F10" s="36">
        <f t="shared" si="0"/>
        <v>3</v>
      </c>
    </row>
    <row r="11" spans="1:9" ht="19.899999999999999" customHeight="1" x14ac:dyDescent="0.25">
      <c r="A11" s="34"/>
      <c r="B11" s="34" t="s">
        <v>49</v>
      </c>
      <c r="C11" s="36">
        <f>0+1</f>
        <v>1</v>
      </c>
      <c r="D11" s="36">
        <f>0+1</f>
        <v>1</v>
      </c>
      <c r="E11" s="36">
        <f>0+0</f>
        <v>0</v>
      </c>
      <c r="F11" s="36">
        <f t="shared" si="0"/>
        <v>2</v>
      </c>
    </row>
    <row r="12" spans="1:9" ht="19.899999999999999" customHeight="1" x14ac:dyDescent="0.25">
      <c r="A12" s="34"/>
      <c r="B12" s="34" t="s">
        <v>24</v>
      </c>
      <c r="C12" s="36">
        <f>194+74+2</f>
        <v>270</v>
      </c>
      <c r="D12" s="36">
        <f>207+67</f>
        <v>274</v>
      </c>
      <c r="E12" s="36">
        <f>76+203+1</f>
        <v>280</v>
      </c>
      <c r="F12" s="36">
        <f t="shared" si="0"/>
        <v>824</v>
      </c>
    </row>
    <row r="13" spans="1:9" ht="19.899999999999999" customHeight="1" x14ac:dyDescent="0.25">
      <c r="A13" s="53"/>
      <c r="B13" s="34" t="s">
        <v>50</v>
      </c>
      <c r="C13" s="36">
        <f>3+1</f>
        <v>4</v>
      </c>
      <c r="D13" s="36">
        <f>1+1</f>
        <v>2</v>
      </c>
      <c r="E13" s="36">
        <f>1+3</f>
        <v>4</v>
      </c>
      <c r="F13" s="36">
        <f t="shared" si="0"/>
        <v>10</v>
      </c>
    </row>
    <row r="14" spans="1:9" ht="19.899999999999999" customHeight="1" x14ac:dyDescent="0.25">
      <c r="A14" s="53"/>
      <c r="B14" s="34" t="s">
        <v>51</v>
      </c>
      <c r="C14" s="36">
        <f>80+76+2</f>
        <v>158</v>
      </c>
      <c r="D14" s="36">
        <f>84+86</f>
        <v>170</v>
      </c>
      <c r="E14" s="36">
        <f>74+77</f>
        <v>151</v>
      </c>
      <c r="F14" s="36">
        <f t="shared" si="0"/>
        <v>479</v>
      </c>
    </row>
    <row r="15" spans="1:9" ht="19.899999999999999" customHeight="1" x14ac:dyDescent="0.25">
      <c r="A15" s="53"/>
      <c r="B15" s="34" t="s">
        <v>16</v>
      </c>
      <c r="C15" s="36">
        <f>1+2</f>
        <v>3</v>
      </c>
      <c r="D15" s="36">
        <f>1+1</f>
        <v>2</v>
      </c>
      <c r="E15" s="36">
        <f>4+2</f>
        <v>6</v>
      </c>
      <c r="F15" s="36">
        <f t="shared" si="0"/>
        <v>11</v>
      </c>
    </row>
    <row r="16" spans="1:9" ht="19.899999999999999" customHeight="1" x14ac:dyDescent="0.25">
      <c r="A16" s="53"/>
      <c r="B16" s="34" t="s">
        <v>4</v>
      </c>
      <c r="C16" s="36">
        <f>0+0</f>
        <v>0</v>
      </c>
      <c r="D16" s="36">
        <v>0</v>
      </c>
      <c r="E16" s="36">
        <v>3</v>
      </c>
      <c r="F16" s="36">
        <f t="shared" si="0"/>
        <v>3</v>
      </c>
    </row>
    <row r="17" spans="1:6" ht="19.899999999999999" customHeight="1" x14ac:dyDescent="0.25">
      <c r="A17" s="53"/>
      <c r="B17" s="34" t="s">
        <v>5</v>
      </c>
      <c r="C17" s="36">
        <f>0+1</f>
        <v>1</v>
      </c>
      <c r="D17" s="36">
        <f>0+0</f>
        <v>0</v>
      </c>
      <c r="E17" s="36">
        <v>1</v>
      </c>
      <c r="F17" s="36">
        <f t="shared" si="0"/>
        <v>2</v>
      </c>
    </row>
    <row r="18" spans="1:6" ht="19.899999999999999" customHeight="1" x14ac:dyDescent="0.25">
      <c r="A18" s="53"/>
      <c r="B18" s="34" t="s">
        <v>57</v>
      </c>
      <c r="C18" s="36">
        <f>SUM(C8:C17)</f>
        <v>445</v>
      </c>
      <c r="D18" s="36">
        <f>SUM(D8:D17)</f>
        <v>455</v>
      </c>
      <c r="E18" s="36">
        <f>SUM(E8:E17)</f>
        <v>452</v>
      </c>
      <c r="F18" s="36">
        <f>SUM(F8:F17)</f>
        <v>1352</v>
      </c>
    </row>
    <row r="19" spans="1:6" ht="19.899999999999999" customHeight="1" x14ac:dyDescent="0.25">
      <c r="A19" s="53"/>
      <c r="B19" s="34"/>
      <c r="C19" s="37"/>
      <c r="D19" s="37"/>
      <c r="E19" s="37"/>
      <c r="F19" s="37"/>
    </row>
    <row r="20" spans="1:6" ht="19.899999999999999" customHeight="1" x14ac:dyDescent="0.25">
      <c r="A20" s="34"/>
      <c r="B20" s="30"/>
      <c r="C20" s="32" t="s">
        <v>0</v>
      </c>
      <c r="D20" s="32" t="s">
        <v>1</v>
      </c>
      <c r="E20" s="32" t="s">
        <v>2</v>
      </c>
      <c r="F20" s="32" t="s">
        <v>3</v>
      </c>
    </row>
    <row r="21" spans="1:6" ht="19.899999999999999" customHeight="1" x14ac:dyDescent="0.25">
      <c r="A21" s="34"/>
      <c r="B21" s="33" t="s">
        <v>26</v>
      </c>
      <c r="C21" s="32"/>
      <c r="D21" s="32"/>
      <c r="E21" s="32"/>
      <c r="F21" s="32"/>
    </row>
    <row r="22" spans="1:6" ht="19.899999999999999" customHeight="1" x14ac:dyDescent="0.25">
      <c r="A22" s="34"/>
      <c r="B22" s="38" t="s">
        <v>25</v>
      </c>
      <c r="C22" s="32"/>
      <c r="D22" s="32"/>
      <c r="E22" s="32"/>
      <c r="F22" s="32"/>
    </row>
    <row r="23" spans="1:6" ht="19.899999999999999" customHeight="1" x14ac:dyDescent="0.25">
      <c r="A23" s="34"/>
      <c r="B23" s="38" t="s">
        <v>52</v>
      </c>
      <c r="C23" s="35">
        <f>81+39+2</f>
        <v>122</v>
      </c>
      <c r="D23" s="35">
        <f>84+38</f>
        <v>122</v>
      </c>
      <c r="E23" s="35">
        <f>34+91</f>
        <v>125</v>
      </c>
      <c r="F23" s="35">
        <f>SUM(C23+D23+E23)</f>
        <v>369</v>
      </c>
    </row>
    <row r="24" spans="1:6" ht="19.899999999999999" customHeight="1" x14ac:dyDescent="0.25">
      <c r="A24" s="34"/>
      <c r="B24" s="34" t="s">
        <v>53</v>
      </c>
      <c r="C24" s="35">
        <f>175+99+1</f>
        <v>275</v>
      </c>
      <c r="D24" s="35">
        <f>182+111</f>
        <v>293</v>
      </c>
      <c r="E24" s="35">
        <f>112+168+1</f>
        <v>281</v>
      </c>
      <c r="F24" s="35">
        <f t="shared" ref="F24:F26" si="1">SUM(C24+D24+E24)</f>
        <v>849</v>
      </c>
    </row>
    <row r="25" spans="1:6" ht="19.899999999999999" customHeight="1" x14ac:dyDescent="0.25">
      <c r="A25" s="34"/>
      <c r="B25" s="34" t="s">
        <v>4</v>
      </c>
      <c r="C25" s="35">
        <f>26+21</f>
        <v>47</v>
      </c>
      <c r="D25" s="35">
        <f>28+12</f>
        <v>40</v>
      </c>
      <c r="E25" s="35">
        <f>16+30</f>
        <v>46</v>
      </c>
      <c r="F25" s="35">
        <f t="shared" si="1"/>
        <v>133</v>
      </c>
    </row>
    <row r="26" spans="1:6" ht="19.899999999999999" customHeight="1" x14ac:dyDescent="0.25">
      <c r="A26" s="34"/>
      <c r="B26" s="34" t="s">
        <v>5</v>
      </c>
      <c r="C26" s="59">
        <f>0+0</f>
        <v>0</v>
      </c>
      <c r="D26" s="59">
        <f>0+0</f>
        <v>0</v>
      </c>
      <c r="E26" s="59">
        <v>0</v>
      </c>
      <c r="F26" s="35">
        <f t="shared" si="1"/>
        <v>0</v>
      </c>
    </row>
    <row r="27" spans="1:6" ht="19.899999999999999" customHeight="1" x14ac:dyDescent="0.25">
      <c r="A27" s="34"/>
      <c r="B27" s="34" t="s">
        <v>57</v>
      </c>
      <c r="C27" s="35">
        <f>SUM(C23:C26)</f>
        <v>444</v>
      </c>
      <c r="D27" s="35">
        <f>SUM(D23:D26)</f>
        <v>455</v>
      </c>
      <c r="E27" s="35">
        <f>SUM(E23:E26)</f>
        <v>452</v>
      </c>
      <c r="F27" s="35">
        <f>SUM(F23:F26)</f>
        <v>1351</v>
      </c>
    </row>
    <row r="28" spans="1:6" ht="21.75" customHeight="1" x14ac:dyDescent="0.25">
      <c r="A28" s="34"/>
      <c r="B28" s="30"/>
      <c r="C28" s="37"/>
      <c r="D28" s="37"/>
      <c r="E28" s="37"/>
      <c r="F28" s="37"/>
    </row>
    <row r="29" spans="1:6" ht="19.899999999999999" customHeight="1" x14ac:dyDescent="0.25">
      <c r="A29" s="34"/>
      <c r="B29" s="30"/>
      <c r="C29" s="32" t="s">
        <v>0</v>
      </c>
      <c r="D29" s="32" t="s">
        <v>1</v>
      </c>
      <c r="E29" s="32" t="s">
        <v>2</v>
      </c>
      <c r="F29" s="32" t="s">
        <v>3</v>
      </c>
    </row>
    <row r="30" spans="1:6" ht="19.899999999999999" customHeight="1" x14ac:dyDescent="0.25">
      <c r="A30" s="34"/>
      <c r="B30" s="33" t="s">
        <v>27</v>
      </c>
      <c r="C30" s="32"/>
      <c r="D30" s="32"/>
      <c r="E30" s="32"/>
      <c r="F30" s="32"/>
    </row>
    <row r="31" spans="1:6" ht="19.899999999999999" customHeight="1" x14ac:dyDescent="0.25">
      <c r="A31" s="34"/>
      <c r="B31" s="38" t="s">
        <v>25</v>
      </c>
      <c r="C31" s="32"/>
      <c r="D31" s="32"/>
      <c r="E31" s="32"/>
      <c r="F31" s="32"/>
    </row>
    <row r="32" spans="1:6" ht="19.899999999999999" customHeight="1" x14ac:dyDescent="0.25">
      <c r="A32" s="34"/>
      <c r="B32" s="34" t="s">
        <v>54</v>
      </c>
      <c r="C32" s="36">
        <f>211+117+1</f>
        <v>329</v>
      </c>
      <c r="D32" s="36">
        <f>220+126</f>
        <v>346</v>
      </c>
      <c r="E32" s="36">
        <f>128+211+1</f>
        <v>340</v>
      </c>
      <c r="F32" s="36">
        <f>SUM(C32+D32+E32)</f>
        <v>1015</v>
      </c>
    </row>
    <row r="33" spans="1:6" ht="19.899999999999999" customHeight="1" x14ac:dyDescent="0.25">
      <c r="A33" s="34"/>
      <c r="B33" s="34" t="s">
        <v>55</v>
      </c>
      <c r="C33" s="36">
        <f>42+20+2</f>
        <v>64</v>
      </c>
      <c r="D33" s="36">
        <f>45+19</f>
        <v>64</v>
      </c>
      <c r="E33" s="36">
        <f>14+43</f>
        <v>57</v>
      </c>
      <c r="F33" s="36">
        <f t="shared" ref="F33:F35" si="2">SUM(C33+D33+E33)</f>
        <v>185</v>
      </c>
    </row>
    <row r="34" spans="1:6" ht="19.899999999999999" customHeight="1" x14ac:dyDescent="0.25">
      <c r="A34" s="34"/>
      <c r="B34" s="34" t="s">
        <v>4</v>
      </c>
      <c r="C34" s="36">
        <f>29+22</f>
        <v>51</v>
      </c>
      <c r="D34" s="36">
        <f>29+16</f>
        <v>45</v>
      </c>
      <c r="E34" s="36">
        <f>20+34+1</f>
        <v>55</v>
      </c>
      <c r="F34" s="36">
        <f t="shared" si="2"/>
        <v>151</v>
      </c>
    </row>
    <row r="35" spans="1:6" ht="19.899999999999999" customHeight="1" x14ac:dyDescent="0.25">
      <c r="A35" s="34"/>
      <c r="B35" s="34" t="s">
        <v>5</v>
      </c>
      <c r="C35" s="36">
        <f>0+0</f>
        <v>0</v>
      </c>
      <c r="D35" s="36">
        <f>0+0</f>
        <v>0</v>
      </c>
      <c r="E35" s="36">
        <v>0</v>
      </c>
      <c r="F35" s="36">
        <f t="shared" si="2"/>
        <v>0</v>
      </c>
    </row>
    <row r="36" spans="1:6" ht="19.899999999999999" customHeight="1" x14ac:dyDescent="0.25">
      <c r="A36" s="34"/>
      <c r="B36" s="34" t="s">
        <v>57</v>
      </c>
      <c r="C36" s="36">
        <f>SUM(C32:C35)</f>
        <v>444</v>
      </c>
      <c r="D36" s="36">
        <f>SUM(D32:D35)</f>
        <v>455</v>
      </c>
      <c r="E36" s="36">
        <f>SUM(E32:E35)</f>
        <v>452</v>
      </c>
      <c r="F36" s="36">
        <f>SUM(F32:F35)</f>
        <v>1351</v>
      </c>
    </row>
    <row r="37" spans="1:6" ht="20.25" customHeight="1" x14ac:dyDescent="0.25">
      <c r="A37" s="34"/>
      <c r="B37" s="30"/>
      <c r="C37" s="37"/>
      <c r="D37" s="37"/>
      <c r="E37" s="37"/>
      <c r="F37" s="37"/>
    </row>
    <row r="38" spans="1:6" ht="19.899999999999999" customHeight="1" x14ac:dyDescent="0.25">
      <c r="A38" s="34"/>
      <c r="B38" s="54"/>
      <c r="C38" s="32" t="s">
        <v>0</v>
      </c>
      <c r="D38" s="32" t="s">
        <v>1</v>
      </c>
      <c r="E38" s="32" t="s">
        <v>2</v>
      </c>
      <c r="F38" s="32" t="s">
        <v>3</v>
      </c>
    </row>
    <row r="39" spans="1:6" ht="19.899999999999999" customHeight="1" x14ac:dyDescent="0.25">
      <c r="A39" s="34"/>
      <c r="B39" s="33" t="s">
        <v>29</v>
      </c>
      <c r="C39" s="32"/>
      <c r="D39" s="32"/>
      <c r="E39" s="32"/>
      <c r="F39" s="32"/>
    </row>
    <row r="40" spans="1:6" ht="19.899999999999999" customHeight="1" x14ac:dyDescent="0.25">
      <c r="A40" s="34"/>
      <c r="B40" s="38" t="s">
        <v>30</v>
      </c>
      <c r="C40" s="32"/>
      <c r="D40" s="32"/>
      <c r="E40" s="32"/>
      <c r="F40" s="32"/>
    </row>
    <row r="41" spans="1:6" ht="19.899999999999999" customHeight="1" x14ac:dyDescent="0.25">
      <c r="A41" s="34"/>
      <c r="B41" s="38"/>
      <c r="C41" s="32"/>
      <c r="D41" s="32"/>
      <c r="E41" s="32"/>
      <c r="F41" s="32"/>
    </row>
    <row r="42" spans="1:6" ht="19.899999999999999" customHeight="1" x14ac:dyDescent="0.25">
      <c r="A42" s="34"/>
      <c r="B42" s="39" t="s">
        <v>60</v>
      </c>
      <c r="C42" s="36">
        <v>0</v>
      </c>
      <c r="D42" s="36">
        <v>3</v>
      </c>
      <c r="E42" s="36">
        <f>5+1</f>
        <v>6</v>
      </c>
      <c r="F42" s="36">
        <f>SUM(C42+D42+E42)</f>
        <v>9</v>
      </c>
    </row>
    <row r="43" spans="1:6" ht="19.899999999999999" customHeight="1" x14ac:dyDescent="0.25">
      <c r="A43" s="34"/>
      <c r="B43" s="38" t="s">
        <v>4</v>
      </c>
      <c r="C43" s="36">
        <f>5625+3173</f>
        <v>8798</v>
      </c>
      <c r="D43" s="36">
        <f>3213+5856+6</f>
        <v>9075</v>
      </c>
      <c r="E43" s="36">
        <f>3236+5762+2</f>
        <v>9000</v>
      </c>
      <c r="F43" s="36">
        <f t="shared" ref="F43:F50" si="3">SUM(C43+D43+E43)</f>
        <v>26873</v>
      </c>
    </row>
    <row r="44" spans="1:6" ht="19.5" customHeight="1" x14ac:dyDescent="0.25">
      <c r="A44" s="34"/>
      <c r="B44" s="38" t="s">
        <v>6</v>
      </c>
      <c r="C44" s="36">
        <f>15+7</f>
        <v>22</v>
      </c>
      <c r="D44" s="36">
        <f>24+7+22</f>
        <v>53</v>
      </c>
      <c r="E44" s="36">
        <v>14</v>
      </c>
      <c r="F44" s="36">
        <f t="shared" si="3"/>
        <v>89</v>
      </c>
    </row>
    <row r="45" spans="1:6" ht="19.899999999999999" customHeight="1" x14ac:dyDescent="0.25">
      <c r="A45" s="34"/>
      <c r="B45" s="38" t="s">
        <v>58</v>
      </c>
      <c r="C45" s="36">
        <v>0</v>
      </c>
      <c r="D45" s="36">
        <v>0</v>
      </c>
      <c r="E45" s="36">
        <v>1</v>
      </c>
      <c r="F45" s="36">
        <f t="shared" si="3"/>
        <v>1</v>
      </c>
    </row>
    <row r="46" spans="1:6" ht="19.899999999999999" customHeight="1" x14ac:dyDescent="0.25">
      <c r="A46" s="34"/>
      <c r="B46" s="38" t="s">
        <v>6</v>
      </c>
      <c r="C46" s="36">
        <v>0</v>
      </c>
      <c r="D46" s="36">
        <v>0</v>
      </c>
      <c r="E46" s="36">
        <v>0</v>
      </c>
      <c r="F46" s="36">
        <f t="shared" si="3"/>
        <v>0</v>
      </c>
    </row>
    <row r="47" spans="1:6" ht="19.899999999999999" customHeight="1" x14ac:dyDescent="0.25">
      <c r="A47" s="34"/>
      <c r="B47" s="38" t="s">
        <v>6</v>
      </c>
      <c r="C47" s="36">
        <v>0</v>
      </c>
      <c r="D47" s="36">
        <v>0</v>
      </c>
      <c r="E47" s="36">
        <v>0</v>
      </c>
      <c r="F47" s="36">
        <f t="shared" si="3"/>
        <v>0</v>
      </c>
    </row>
    <row r="48" spans="1:6" ht="19.899999999999999" customHeight="1" x14ac:dyDescent="0.25">
      <c r="A48" s="34"/>
      <c r="B48" s="38" t="s">
        <v>6</v>
      </c>
      <c r="C48" s="36">
        <v>0</v>
      </c>
      <c r="D48" s="36">
        <v>0</v>
      </c>
      <c r="E48" s="36">
        <v>0</v>
      </c>
      <c r="F48" s="36">
        <f t="shared" si="3"/>
        <v>0</v>
      </c>
    </row>
    <row r="49" spans="1:6" ht="19.899999999999999" customHeight="1" x14ac:dyDescent="0.25">
      <c r="A49" s="34"/>
      <c r="B49" s="38" t="s">
        <v>59</v>
      </c>
      <c r="C49" s="36">
        <v>0</v>
      </c>
      <c r="D49" s="36">
        <v>0</v>
      </c>
      <c r="E49" s="36">
        <v>0</v>
      </c>
      <c r="F49" s="36">
        <f t="shared" si="3"/>
        <v>0</v>
      </c>
    </row>
    <row r="50" spans="1:6" ht="24.75" customHeight="1" x14ac:dyDescent="0.25">
      <c r="A50" s="40"/>
      <c r="B50" s="55" t="s">
        <v>32</v>
      </c>
      <c r="C50" s="36">
        <f>SUM(C42:C49)</f>
        <v>8820</v>
      </c>
      <c r="D50" s="36">
        <f t="shared" ref="D50:E50" si="4">SUM(D42:D49)</f>
        <v>9131</v>
      </c>
      <c r="E50" s="36">
        <f t="shared" si="4"/>
        <v>9021</v>
      </c>
      <c r="F50" s="36">
        <f t="shared" si="3"/>
        <v>26972</v>
      </c>
    </row>
    <row r="51" spans="1:6" ht="33" customHeight="1" thickBot="1" x14ac:dyDescent="0.3">
      <c r="A51" s="38"/>
      <c r="B51" s="42"/>
      <c r="C51" s="41"/>
      <c r="D51" s="41"/>
      <c r="E51" s="41"/>
      <c r="F51" s="41"/>
    </row>
    <row r="52" spans="1:6" ht="33" customHeight="1" x14ac:dyDescent="0.25">
      <c r="A52" s="40"/>
      <c r="B52" s="63" t="s">
        <v>7</v>
      </c>
      <c r="C52" s="60">
        <v>776</v>
      </c>
      <c r="D52" s="44">
        <f>404+358</f>
        <v>762</v>
      </c>
      <c r="E52" s="44">
        <f>406+370</f>
        <v>776</v>
      </c>
      <c r="F52" s="44">
        <f>SUM(C52+D52+E52)</f>
        <v>2314</v>
      </c>
    </row>
    <row r="53" spans="1:6" ht="33" customHeight="1" x14ac:dyDescent="0.25">
      <c r="A53" s="40"/>
      <c r="B53" s="64" t="s">
        <v>8</v>
      </c>
      <c r="C53" s="61">
        <v>2482</v>
      </c>
      <c r="D53" s="46">
        <v>2531</v>
      </c>
      <c r="E53" s="46">
        <v>2371</v>
      </c>
      <c r="F53" s="56">
        <v>7384</v>
      </c>
    </row>
    <row r="54" spans="1:6" ht="33" customHeight="1" thickBot="1" x14ac:dyDescent="0.3">
      <c r="A54" s="40"/>
      <c r="B54" s="65" t="s">
        <v>9</v>
      </c>
      <c r="C54" s="62">
        <f>C52/C53</f>
        <v>0.3126510878323932</v>
      </c>
      <c r="D54" s="48">
        <f t="shared" ref="D54:F54" si="5">D52/D53</f>
        <v>0.30106677202686682</v>
      </c>
      <c r="E54" s="48">
        <f t="shared" si="5"/>
        <v>0.32728806410797134</v>
      </c>
      <c r="F54" s="48">
        <f t="shared" si="5"/>
        <v>0.31338028169014087</v>
      </c>
    </row>
    <row r="55" spans="1:6" ht="33" customHeight="1" x14ac:dyDescent="0.25">
      <c r="A55" s="57"/>
      <c r="B55" s="105" t="s">
        <v>63</v>
      </c>
      <c r="C55" s="103"/>
      <c r="D55" s="103"/>
      <c r="E55" s="103"/>
      <c r="F55" s="104"/>
    </row>
    <row r="56" spans="1:6" ht="33" customHeight="1" x14ac:dyDescent="0.25">
      <c r="A56" s="34"/>
      <c r="B56" s="105"/>
      <c r="C56" s="106"/>
      <c r="D56" s="106"/>
      <c r="E56" s="106"/>
      <c r="F56" s="107"/>
    </row>
    <row r="57" spans="1:6" ht="33" customHeight="1" x14ac:dyDescent="0.25">
      <c r="A57" s="34"/>
      <c r="B57" s="105"/>
      <c r="C57" s="106"/>
      <c r="D57" s="106"/>
      <c r="E57" s="106"/>
      <c r="F57" s="107"/>
    </row>
    <row r="58" spans="1:6" ht="12" customHeight="1" x14ac:dyDescent="0.25">
      <c r="A58" s="34"/>
      <c r="B58" s="105"/>
      <c r="C58" s="106"/>
      <c r="D58" s="106"/>
      <c r="E58" s="106"/>
      <c r="F58" s="107"/>
    </row>
    <row r="59" spans="1:6" ht="33" hidden="1" customHeight="1" x14ac:dyDescent="0.25">
      <c r="A59" s="34"/>
      <c r="B59" s="105"/>
      <c r="C59" s="106"/>
      <c r="D59" s="106"/>
      <c r="E59" s="106"/>
      <c r="F59" s="107"/>
    </row>
    <row r="60" spans="1:6" ht="16.5" hidden="1" thickBot="1" x14ac:dyDescent="0.3">
      <c r="A60" s="34"/>
      <c r="B60" s="108"/>
      <c r="C60" s="109"/>
      <c r="D60" s="109"/>
      <c r="E60" s="109"/>
      <c r="F60" s="110"/>
    </row>
    <row r="63" spans="1:6" ht="33" customHeight="1" x14ac:dyDescent="0.3">
      <c r="B63" s="16"/>
    </row>
    <row r="64" spans="1:6" ht="33" customHeight="1" x14ac:dyDescent="0.3">
      <c r="B64" s="17"/>
      <c r="C64" s="18"/>
      <c r="D64" s="18"/>
      <c r="E64" s="18"/>
      <c r="F64" s="19"/>
    </row>
    <row r="65" spans="2:6" ht="33" customHeight="1" x14ac:dyDescent="0.3">
      <c r="C65" s="18"/>
      <c r="D65" s="18"/>
      <c r="E65" s="18"/>
      <c r="F65" s="18"/>
    </row>
    <row r="66" spans="2:6" ht="33" customHeight="1" x14ac:dyDescent="0.3">
      <c r="C66" s="18"/>
      <c r="D66" s="18"/>
      <c r="E66" s="18"/>
      <c r="F66" s="18"/>
    </row>
    <row r="67" spans="2:6" ht="33" customHeight="1" x14ac:dyDescent="0.3">
      <c r="D67" s="18"/>
      <c r="E67" s="18"/>
      <c r="F67" s="18"/>
    </row>
    <row r="68" spans="2:6" ht="33" customHeight="1" x14ac:dyDescent="0.3">
      <c r="D68" s="18"/>
      <c r="E68" s="18"/>
      <c r="F68" s="18"/>
    </row>
    <row r="69" spans="2:6" ht="33" customHeight="1" x14ac:dyDescent="0.3">
      <c r="D69" s="18"/>
      <c r="E69" s="18"/>
      <c r="F69" s="18"/>
    </row>
    <row r="70" spans="2:6" ht="33" customHeight="1" x14ac:dyDescent="0.3">
      <c r="E70" s="18"/>
      <c r="F70" s="18"/>
    </row>
    <row r="71" spans="2:6" ht="33" customHeight="1" x14ac:dyDescent="0.3">
      <c r="B71" s="16"/>
      <c r="E71" s="18"/>
      <c r="F71" s="18"/>
    </row>
    <row r="72" spans="2:6" ht="33" customHeight="1" x14ac:dyDescent="0.3">
      <c r="B72" s="17"/>
      <c r="C72" s="18"/>
      <c r="D72" s="18"/>
      <c r="E72" s="18"/>
      <c r="F72" s="19"/>
    </row>
    <row r="73" spans="2:6" ht="33" customHeight="1" x14ac:dyDescent="0.3">
      <c r="C73" s="18"/>
      <c r="D73" s="18"/>
      <c r="E73" s="18"/>
      <c r="F73" s="18"/>
    </row>
    <row r="74" spans="2:6" ht="33" customHeight="1" x14ac:dyDescent="0.3">
      <c r="C74" s="18"/>
      <c r="D74" s="18"/>
      <c r="E74" s="18"/>
      <c r="F74" s="18"/>
    </row>
    <row r="75" spans="2:6" ht="33" customHeight="1" x14ac:dyDescent="0.3">
      <c r="C75" s="18"/>
      <c r="D75" s="18"/>
      <c r="E75" s="18"/>
      <c r="F75" s="18"/>
    </row>
    <row r="76" spans="2:6" ht="33" customHeight="1" x14ac:dyDescent="0.3">
      <c r="C76" s="18"/>
      <c r="D76" s="18"/>
      <c r="E76" s="18"/>
      <c r="F76" s="18"/>
    </row>
    <row r="77" spans="2:6" ht="33" customHeight="1" x14ac:dyDescent="0.3">
      <c r="D77" s="18"/>
      <c r="E77" s="18"/>
      <c r="F77" s="18"/>
    </row>
    <row r="78" spans="2:6" ht="33" customHeight="1" x14ac:dyDescent="0.3">
      <c r="E78" s="18"/>
      <c r="F78" s="18"/>
    </row>
  </sheetData>
  <mergeCells count="4">
    <mergeCell ref="A1:F1"/>
    <mergeCell ref="A3:F3"/>
    <mergeCell ref="B55:F60"/>
    <mergeCell ref="B2:F2"/>
  </mergeCells>
  <pageMargins left="0.7" right="0.7" top="0.75" bottom="0.75" header="0.3" footer="0.3"/>
  <pageSetup paperSize="5"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workbookViewId="0">
      <selection activeCell="K39" sqref="K39"/>
    </sheetView>
  </sheetViews>
  <sheetFormatPr defaultRowHeight="18.75" x14ac:dyDescent="0.3"/>
  <cols>
    <col min="1" max="1" width="2.7109375" style="3" customWidth="1"/>
    <col min="2" max="2" width="56.7109375" customWidth="1"/>
    <col min="3" max="3" width="31.7109375" customWidth="1"/>
    <col min="4" max="4" width="30.28515625" customWidth="1"/>
    <col min="5" max="5" width="30.140625" customWidth="1"/>
    <col min="6" max="6" width="26.7109375" customWidth="1"/>
    <col min="7" max="7" width="2.85546875" customWidth="1"/>
    <col min="9" max="9" width="12.7109375" customWidth="1"/>
  </cols>
  <sheetData>
    <row r="1" spans="1:6" ht="30" customHeight="1" x14ac:dyDescent="0.25">
      <c r="A1" s="111" t="s">
        <v>10</v>
      </c>
      <c r="B1" s="111"/>
      <c r="C1" s="111"/>
      <c r="D1" s="111"/>
      <c r="E1" s="111"/>
      <c r="F1" s="111"/>
    </row>
    <row r="2" spans="1:6" ht="30" customHeight="1" x14ac:dyDescent="0.25">
      <c r="A2" s="52"/>
      <c r="B2" s="114" t="s">
        <v>23</v>
      </c>
      <c r="C2" s="115"/>
      <c r="D2" s="115"/>
      <c r="E2" s="115"/>
      <c r="F2" s="115"/>
    </row>
    <row r="3" spans="1:6" ht="25.15" customHeight="1" x14ac:dyDescent="0.25">
      <c r="A3" s="112" t="s">
        <v>34</v>
      </c>
      <c r="B3" s="112"/>
      <c r="C3" s="112"/>
      <c r="D3" s="112"/>
      <c r="E3" s="112"/>
      <c r="F3" s="112"/>
    </row>
    <row r="4" spans="1:6" ht="25.15" customHeight="1" x14ac:dyDescent="0.25">
      <c r="A4" s="53"/>
      <c r="B4" s="53"/>
      <c r="C4" s="53"/>
      <c r="D4" s="53"/>
      <c r="E4" s="53"/>
      <c r="F4" s="53"/>
    </row>
    <row r="5" spans="1:6" ht="19.899999999999999" customHeight="1" x14ac:dyDescent="0.25">
      <c r="A5" s="34"/>
      <c r="B5" s="30"/>
      <c r="C5" s="32" t="s">
        <v>0</v>
      </c>
      <c r="D5" s="32" t="s">
        <v>1</v>
      </c>
      <c r="E5" s="32" t="s">
        <v>2</v>
      </c>
      <c r="F5" s="32" t="s">
        <v>3</v>
      </c>
    </row>
    <row r="6" spans="1:6" ht="19.899999999999999" customHeight="1" x14ac:dyDescent="0.25">
      <c r="A6" s="34"/>
      <c r="B6" s="33" t="s">
        <v>10</v>
      </c>
      <c r="C6" s="32"/>
      <c r="D6" s="32"/>
      <c r="E6" s="32"/>
      <c r="F6" s="32"/>
    </row>
    <row r="7" spans="1:6" ht="19.899999999999999" customHeight="1" x14ac:dyDescent="0.25">
      <c r="A7" s="34"/>
      <c r="B7" s="38" t="s">
        <v>31</v>
      </c>
      <c r="C7" s="32"/>
      <c r="D7" s="32"/>
      <c r="E7" s="32"/>
      <c r="F7" s="32"/>
    </row>
    <row r="8" spans="1:6" ht="19.899999999999999" customHeight="1" x14ac:dyDescent="0.25">
      <c r="A8" s="34"/>
      <c r="B8" s="34" t="s">
        <v>40</v>
      </c>
      <c r="C8" s="36">
        <f>0+0</f>
        <v>0</v>
      </c>
      <c r="D8" s="36">
        <f>1+0</f>
        <v>1</v>
      </c>
      <c r="E8" s="36">
        <v>0</v>
      </c>
      <c r="F8" s="36">
        <f t="shared" ref="F8:F12" si="0">+SUM(C8+D8+E8)</f>
        <v>1</v>
      </c>
    </row>
    <row r="9" spans="1:6" ht="19.899999999999999" customHeight="1" x14ac:dyDescent="0.25">
      <c r="A9" s="34"/>
      <c r="B9" s="34" t="s">
        <v>41</v>
      </c>
      <c r="C9" s="36">
        <f>0+0</f>
        <v>0</v>
      </c>
      <c r="D9" s="36">
        <f>0+0</f>
        <v>0</v>
      </c>
      <c r="E9" s="36">
        <v>0</v>
      </c>
      <c r="F9" s="36">
        <f t="shared" si="0"/>
        <v>0</v>
      </c>
    </row>
    <row r="10" spans="1:6" ht="19.899999999999999" customHeight="1" x14ac:dyDescent="0.25">
      <c r="A10" s="53"/>
      <c r="B10" s="34" t="s">
        <v>42</v>
      </c>
      <c r="C10" s="36">
        <f>0+1</f>
        <v>1</v>
      </c>
      <c r="D10" s="36">
        <f>0+0</f>
        <v>0</v>
      </c>
      <c r="E10" s="36">
        <f>3+0</f>
        <v>3</v>
      </c>
      <c r="F10" s="36">
        <f t="shared" si="0"/>
        <v>4</v>
      </c>
    </row>
    <row r="11" spans="1:6" ht="19.899999999999999" customHeight="1" x14ac:dyDescent="0.25">
      <c r="A11" s="53"/>
      <c r="B11" s="34" t="s">
        <v>43</v>
      </c>
      <c r="C11" s="36">
        <f>0+0</f>
        <v>0</v>
      </c>
      <c r="D11" s="36">
        <f>1+0</f>
        <v>1</v>
      </c>
      <c r="E11" s="36">
        <v>0</v>
      </c>
      <c r="F11" s="36">
        <f t="shared" si="0"/>
        <v>1</v>
      </c>
    </row>
    <row r="12" spans="1:6" ht="19.899999999999999" customHeight="1" x14ac:dyDescent="0.25">
      <c r="A12" s="53"/>
      <c r="B12" s="34" t="s">
        <v>44</v>
      </c>
      <c r="C12" s="36">
        <f>0+0</f>
        <v>0</v>
      </c>
      <c r="D12" s="36">
        <f>0+0</f>
        <v>0</v>
      </c>
      <c r="E12" s="36">
        <f>1+0</f>
        <v>1</v>
      </c>
      <c r="F12" s="36">
        <f t="shared" si="0"/>
        <v>1</v>
      </c>
    </row>
    <row r="13" spans="1:6" ht="19.899999999999999" customHeight="1" x14ac:dyDescent="0.25">
      <c r="A13" s="53"/>
      <c r="B13" s="34" t="s">
        <v>16</v>
      </c>
      <c r="C13" s="36">
        <f>0+2</f>
        <v>2</v>
      </c>
      <c r="D13" s="36">
        <f>2+1</f>
        <v>3</v>
      </c>
      <c r="E13" s="36">
        <f>2+1</f>
        <v>3</v>
      </c>
      <c r="F13" s="36">
        <v>0</v>
      </c>
    </row>
    <row r="14" spans="1:6" ht="19.899999999999999" customHeight="1" x14ac:dyDescent="0.25">
      <c r="A14" s="34"/>
      <c r="B14" s="34" t="s">
        <v>4</v>
      </c>
      <c r="C14" s="36">
        <f>0+0</f>
        <v>0</v>
      </c>
      <c r="D14" s="36">
        <f>0+1+2</f>
        <v>3</v>
      </c>
      <c r="E14" s="36">
        <v>0</v>
      </c>
      <c r="F14" s="36">
        <f>+SUM(C14+D14+E14)</f>
        <v>3</v>
      </c>
    </row>
    <row r="15" spans="1:6" ht="19.899999999999999" customHeight="1" x14ac:dyDescent="0.25">
      <c r="A15" s="53"/>
      <c r="B15" s="34" t="s">
        <v>17</v>
      </c>
      <c r="C15" s="36">
        <f>0+0</f>
        <v>0</v>
      </c>
      <c r="D15" s="36">
        <f>3+1+2</f>
        <v>6</v>
      </c>
      <c r="E15" s="36">
        <v>0</v>
      </c>
      <c r="F15" s="36">
        <v>0</v>
      </c>
    </row>
    <row r="16" spans="1:6" ht="19.899999999999999" customHeight="1" x14ac:dyDescent="0.25">
      <c r="A16" s="53"/>
      <c r="B16" s="34" t="s">
        <v>17</v>
      </c>
      <c r="C16" s="36">
        <v>0</v>
      </c>
      <c r="D16" s="36">
        <v>0</v>
      </c>
      <c r="E16" s="36">
        <v>0</v>
      </c>
      <c r="F16" s="36">
        <v>0</v>
      </c>
    </row>
    <row r="17" spans="1:6" ht="19.899999999999999" customHeight="1" x14ac:dyDescent="0.25">
      <c r="A17" s="53"/>
      <c r="B17" s="34" t="s">
        <v>57</v>
      </c>
      <c r="C17" s="36">
        <f>SUM(C8:C16)</f>
        <v>3</v>
      </c>
      <c r="D17" s="36">
        <f t="shared" ref="D17:E17" si="1">SUM(D8:D16)</f>
        <v>14</v>
      </c>
      <c r="E17" s="36">
        <f t="shared" si="1"/>
        <v>7</v>
      </c>
      <c r="F17" s="36">
        <f>SUM(C17+D17+E17)</f>
        <v>24</v>
      </c>
    </row>
    <row r="18" spans="1:6" ht="19.899999999999999" customHeight="1" x14ac:dyDescent="0.25">
      <c r="A18" s="53"/>
      <c r="B18" s="34"/>
      <c r="C18" s="37"/>
      <c r="D18" s="37"/>
      <c r="E18" s="37"/>
      <c r="F18" s="37"/>
    </row>
    <row r="19" spans="1:6" ht="19.899999999999999" customHeight="1" x14ac:dyDescent="0.25">
      <c r="A19" s="34"/>
      <c r="B19" s="30"/>
      <c r="C19" s="32"/>
      <c r="D19" s="32"/>
      <c r="E19" s="32"/>
      <c r="F19" s="32"/>
    </row>
    <row r="20" spans="1:6" ht="19.899999999999999" customHeight="1" x14ac:dyDescent="0.25">
      <c r="A20" s="34"/>
      <c r="B20" s="30"/>
      <c r="C20" s="32" t="s">
        <v>0</v>
      </c>
      <c r="D20" s="32" t="s">
        <v>1</v>
      </c>
      <c r="E20" s="32" t="s">
        <v>2</v>
      </c>
      <c r="F20" s="32" t="s">
        <v>3</v>
      </c>
    </row>
    <row r="21" spans="1:6" ht="19.899999999999999" customHeight="1" x14ac:dyDescent="0.25">
      <c r="A21" s="34"/>
      <c r="B21" s="33" t="s">
        <v>18</v>
      </c>
      <c r="C21" s="32"/>
      <c r="D21" s="32"/>
      <c r="E21" s="32"/>
      <c r="F21" s="32"/>
    </row>
    <row r="22" spans="1:6" ht="19.899999999999999" customHeight="1" x14ac:dyDescent="0.25">
      <c r="A22" s="34"/>
      <c r="B22" s="34" t="s">
        <v>13</v>
      </c>
      <c r="C22" s="32"/>
      <c r="D22" s="32"/>
      <c r="E22" s="32"/>
      <c r="F22" s="32"/>
    </row>
    <row r="23" spans="1:6" ht="19.899999999999999" customHeight="1" x14ac:dyDescent="0.25">
      <c r="A23" s="34"/>
      <c r="B23" s="34" t="s">
        <v>16</v>
      </c>
      <c r="C23" s="35">
        <v>0</v>
      </c>
      <c r="D23" s="35">
        <v>0</v>
      </c>
      <c r="E23" s="35">
        <v>0</v>
      </c>
      <c r="F23" s="35">
        <f>SUM(C23+D23+E23)</f>
        <v>0</v>
      </c>
    </row>
    <row r="24" spans="1:6" ht="19.899999999999999" customHeight="1" x14ac:dyDescent="0.25">
      <c r="A24" s="34"/>
      <c r="B24" s="34" t="s">
        <v>45</v>
      </c>
      <c r="C24" s="36">
        <f>3+0</f>
        <v>3</v>
      </c>
      <c r="D24" s="36">
        <f>4+2</f>
        <v>6</v>
      </c>
      <c r="E24" s="36">
        <f>6+1</f>
        <v>7</v>
      </c>
      <c r="F24" s="35">
        <f t="shared" ref="F24:F25" si="2">SUM(C24+D24+E24)</f>
        <v>16</v>
      </c>
    </row>
    <row r="25" spans="1:6" ht="19.899999999999999" customHeight="1" x14ac:dyDescent="0.25">
      <c r="A25" s="34"/>
      <c r="B25" s="34" t="s">
        <v>17</v>
      </c>
      <c r="C25" s="36">
        <f>0+0</f>
        <v>0</v>
      </c>
      <c r="D25" s="36">
        <f>2+2+3</f>
        <v>7</v>
      </c>
      <c r="E25" s="36">
        <v>0</v>
      </c>
      <c r="F25" s="35">
        <f t="shared" si="2"/>
        <v>7</v>
      </c>
    </row>
    <row r="26" spans="1:6" ht="19.899999999999999" customHeight="1" x14ac:dyDescent="0.25">
      <c r="A26" s="34"/>
      <c r="B26" s="34" t="s">
        <v>57</v>
      </c>
      <c r="C26" s="36">
        <f>SUM(C23:C25)</f>
        <v>3</v>
      </c>
      <c r="D26" s="36">
        <f>SUM(D23:D25)</f>
        <v>13</v>
      </c>
      <c r="E26" s="36">
        <f>SUM(E23:E25)</f>
        <v>7</v>
      </c>
      <c r="F26" s="36">
        <f>+SUM(C26+D26+E26)</f>
        <v>23</v>
      </c>
    </row>
    <row r="27" spans="1:6" ht="19.899999999999999" customHeight="1" x14ac:dyDescent="0.25">
      <c r="A27" s="34"/>
      <c r="B27" s="34"/>
      <c r="C27" s="37"/>
      <c r="D27" s="37"/>
      <c r="E27" s="37"/>
      <c r="F27" s="37"/>
    </row>
    <row r="28" spans="1:6" ht="19.899999999999999" customHeight="1" x14ac:dyDescent="0.25">
      <c r="A28" s="34"/>
      <c r="B28" s="30"/>
      <c r="C28" s="32" t="s">
        <v>0</v>
      </c>
      <c r="D28" s="32" t="s">
        <v>1</v>
      </c>
      <c r="E28" s="32" t="s">
        <v>2</v>
      </c>
      <c r="F28" s="32" t="s">
        <v>3</v>
      </c>
    </row>
    <row r="29" spans="1:6" ht="19.899999999999999" customHeight="1" x14ac:dyDescent="0.25">
      <c r="A29" s="34"/>
      <c r="B29" s="33" t="s">
        <v>19</v>
      </c>
      <c r="C29" s="32"/>
      <c r="D29" s="32"/>
      <c r="E29" s="32"/>
      <c r="F29" s="32"/>
    </row>
    <row r="30" spans="1:6" ht="19.899999999999999" customHeight="1" x14ac:dyDescent="0.25">
      <c r="A30" s="34"/>
      <c r="B30" s="34" t="s">
        <v>13</v>
      </c>
      <c r="C30" s="32"/>
      <c r="D30" s="32"/>
      <c r="E30" s="32"/>
      <c r="F30" s="32"/>
    </row>
    <row r="31" spans="1:6" ht="19.899999999999999" customHeight="1" x14ac:dyDescent="0.25">
      <c r="A31" s="34"/>
      <c r="B31" s="34" t="s">
        <v>4</v>
      </c>
      <c r="C31" s="36">
        <f>0+3</f>
        <v>3</v>
      </c>
      <c r="D31" s="36">
        <f>4+2</f>
        <v>6</v>
      </c>
      <c r="E31" s="36">
        <f>6+0</f>
        <v>6</v>
      </c>
      <c r="F31" s="36">
        <f>SUM(C31+D31+E31)</f>
        <v>15</v>
      </c>
    </row>
    <row r="32" spans="1:6" ht="19.899999999999999" customHeight="1" x14ac:dyDescent="0.25">
      <c r="A32" s="34"/>
      <c r="B32" s="34" t="s">
        <v>16</v>
      </c>
      <c r="C32" s="36">
        <v>0</v>
      </c>
      <c r="D32" s="36">
        <v>0</v>
      </c>
      <c r="E32" s="36">
        <v>0</v>
      </c>
      <c r="F32" s="36">
        <f t="shared" ref="F32:F33" si="3">SUM(C32+D32+E32)</f>
        <v>0</v>
      </c>
    </row>
    <row r="33" spans="1:6" ht="19.899999999999999" customHeight="1" x14ac:dyDescent="0.25">
      <c r="A33" s="34"/>
      <c r="B33" s="34" t="s">
        <v>17</v>
      </c>
      <c r="C33" s="36">
        <v>0</v>
      </c>
      <c r="D33" s="36">
        <f>2+2+3</f>
        <v>7</v>
      </c>
      <c r="E33" s="36">
        <f>1+0</f>
        <v>1</v>
      </c>
      <c r="F33" s="36">
        <f t="shared" si="3"/>
        <v>8</v>
      </c>
    </row>
    <row r="34" spans="1:6" ht="19.899999999999999" customHeight="1" x14ac:dyDescent="0.25">
      <c r="A34" s="34"/>
      <c r="B34" s="34" t="s">
        <v>57</v>
      </c>
      <c r="C34" s="36">
        <f>SUM(C31:C33)</f>
        <v>3</v>
      </c>
      <c r="D34" s="36">
        <f>SUM(D31:D33)</f>
        <v>13</v>
      </c>
      <c r="E34" s="36">
        <f>SUM(E31:E33)</f>
        <v>7</v>
      </c>
      <c r="F34" s="36">
        <f>SUM(C34+D34+E34)</f>
        <v>23</v>
      </c>
    </row>
    <row r="35" spans="1:6" ht="19.899999999999999" customHeight="1" x14ac:dyDescent="0.25">
      <c r="A35" s="34"/>
      <c r="B35" s="34"/>
      <c r="C35" s="37"/>
      <c r="D35" s="37"/>
      <c r="E35" s="37"/>
      <c r="F35" s="37"/>
    </row>
    <row r="36" spans="1:6" ht="19.899999999999999" customHeight="1" x14ac:dyDescent="0.25">
      <c r="A36" s="34"/>
      <c r="B36" s="33" t="s">
        <v>29</v>
      </c>
      <c r="C36" s="32"/>
      <c r="D36" s="32"/>
      <c r="E36" s="32"/>
      <c r="F36" s="32"/>
    </row>
    <row r="37" spans="1:6" ht="19.899999999999999" customHeight="1" x14ac:dyDescent="0.25">
      <c r="A37" s="34"/>
      <c r="B37" s="34" t="s">
        <v>4</v>
      </c>
      <c r="C37" s="36">
        <f>0+30</f>
        <v>30</v>
      </c>
      <c r="D37" s="36">
        <f>59+39</f>
        <v>98</v>
      </c>
      <c r="E37" s="36">
        <f>59+10</f>
        <v>69</v>
      </c>
      <c r="F37" s="36">
        <f>SUM(C37+D37+E37)</f>
        <v>197</v>
      </c>
    </row>
    <row r="38" spans="1:6" ht="19.899999999999999" customHeight="1" x14ac:dyDescent="0.25">
      <c r="A38" s="34"/>
      <c r="B38" s="34" t="s">
        <v>28</v>
      </c>
      <c r="C38" s="36">
        <f>0+0</f>
        <v>0</v>
      </c>
      <c r="D38" s="36">
        <f>1+1+1</f>
        <v>3</v>
      </c>
      <c r="E38" s="36">
        <f>1+0</f>
        <v>1</v>
      </c>
      <c r="F38" s="36">
        <f t="shared" ref="F38:F40" si="4">SUM(C38+D38+E38)</f>
        <v>4</v>
      </c>
    </row>
    <row r="39" spans="1:6" ht="19.899999999999999" customHeight="1" x14ac:dyDescent="0.25">
      <c r="A39" s="34"/>
      <c r="B39" s="34" t="s">
        <v>28</v>
      </c>
      <c r="C39" s="36">
        <v>0</v>
      </c>
      <c r="D39" s="36">
        <v>0</v>
      </c>
      <c r="E39" s="36">
        <v>0</v>
      </c>
      <c r="F39" s="36">
        <f t="shared" si="4"/>
        <v>0</v>
      </c>
    </row>
    <row r="40" spans="1:6" ht="19.899999999999999" customHeight="1" x14ac:dyDescent="0.25">
      <c r="A40" s="34"/>
      <c r="B40" s="34" t="s">
        <v>28</v>
      </c>
      <c r="C40" s="36">
        <v>0</v>
      </c>
      <c r="D40" s="36">
        <v>0</v>
      </c>
      <c r="E40" s="36">
        <v>0</v>
      </c>
      <c r="F40" s="36">
        <f t="shared" si="4"/>
        <v>0</v>
      </c>
    </row>
    <row r="41" spans="1:6" ht="20.25" customHeight="1" x14ac:dyDescent="0.25">
      <c r="A41" s="34"/>
      <c r="B41" s="34" t="s">
        <v>57</v>
      </c>
      <c r="C41" s="36">
        <f>SUM(C37:C40)</f>
        <v>30</v>
      </c>
      <c r="D41" s="36">
        <f t="shared" ref="D41:E41" si="5">SUM(D37:D40)</f>
        <v>101</v>
      </c>
      <c r="E41" s="36">
        <f t="shared" si="5"/>
        <v>70</v>
      </c>
      <c r="F41" s="36">
        <f>SUM(C41+D41+E41)</f>
        <v>201</v>
      </c>
    </row>
    <row r="42" spans="1:6" ht="19.899999999999999" customHeight="1" x14ac:dyDescent="0.25">
      <c r="A42" s="34"/>
      <c r="B42" s="55"/>
      <c r="C42" s="58"/>
      <c r="D42" s="58"/>
      <c r="E42" s="58"/>
      <c r="F42" s="58"/>
    </row>
    <row r="43" spans="1:6" ht="19.899999999999999" customHeight="1" thickBot="1" x14ac:dyDescent="0.3">
      <c r="A43" s="34"/>
      <c r="B43" s="42"/>
      <c r="C43" s="41"/>
      <c r="D43" s="41"/>
      <c r="E43" s="41"/>
      <c r="F43" s="41"/>
    </row>
    <row r="44" spans="1:6" ht="19.899999999999999" customHeight="1" x14ac:dyDescent="0.25">
      <c r="A44" s="34"/>
      <c r="B44" s="49" t="s">
        <v>7</v>
      </c>
      <c r="C44" s="44">
        <f>399+377</f>
        <v>776</v>
      </c>
      <c r="D44" s="44">
        <v>762</v>
      </c>
      <c r="E44" s="44">
        <f>370+406</f>
        <v>776</v>
      </c>
      <c r="F44" s="44">
        <f>SUM(C44+D44+E44)</f>
        <v>2314</v>
      </c>
    </row>
    <row r="45" spans="1:6" ht="19.899999999999999" customHeight="1" x14ac:dyDescent="0.25">
      <c r="A45" s="34"/>
      <c r="B45" s="50" t="s">
        <v>8</v>
      </c>
      <c r="C45" s="46">
        <v>2482</v>
      </c>
      <c r="D45" s="46">
        <v>2531</v>
      </c>
      <c r="E45" s="46">
        <v>2371</v>
      </c>
      <c r="F45" s="56">
        <v>7384</v>
      </c>
    </row>
    <row r="46" spans="1:6" ht="19.899999999999999" customHeight="1" thickBot="1" x14ac:dyDescent="0.3">
      <c r="A46" s="34"/>
      <c r="B46" s="51" t="s">
        <v>9</v>
      </c>
      <c r="C46" s="48">
        <f>C44/C45</f>
        <v>0.3126510878323932</v>
      </c>
      <c r="D46" s="48">
        <f t="shared" ref="D46:F46" si="6">D44/D45</f>
        <v>0.30106677202686682</v>
      </c>
      <c r="E46" s="48">
        <f t="shared" si="6"/>
        <v>0.32728806410797134</v>
      </c>
      <c r="F46" s="48">
        <f t="shared" si="6"/>
        <v>0.31338028169014087</v>
      </c>
    </row>
    <row r="47" spans="1:6" ht="19.899999999999999" customHeight="1" x14ac:dyDescent="0.25">
      <c r="A47" s="34"/>
      <c r="B47" s="30"/>
      <c r="C47" s="30"/>
      <c r="D47" s="30"/>
      <c r="E47" s="30"/>
      <c r="F47" s="30"/>
    </row>
    <row r="48" spans="1:6" ht="6" customHeight="1" thickBot="1" x14ac:dyDescent="0.3">
      <c r="A48" s="34"/>
      <c r="B48" s="30"/>
      <c r="C48" s="30"/>
      <c r="D48" s="30"/>
      <c r="E48" s="30"/>
      <c r="F48" s="30"/>
    </row>
    <row r="49" spans="1:6" ht="28.5" customHeight="1" x14ac:dyDescent="0.25">
      <c r="A49" s="40"/>
      <c r="B49" s="102" t="s">
        <v>63</v>
      </c>
      <c r="C49" s="103"/>
      <c r="D49" s="103"/>
      <c r="E49" s="103"/>
      <c r="F49" s="104"/>
    </row>
    <row r="50" spans="1:6" ht="33" customHeight="1" x14ac:dyDescent="0.25">
      <c r="A50" s="40"/>
      <c r="B50" s="105"/>
      <c r="C50" s="106"/>
      <c r="D50" s="106"/>
      <c r="E50" s="106"/>
      <c r="F50" s="107"/>
    </row>
    <row r="51" spans="1:6" ht="33" customHeight="1" x14ac:dyDescent="0.25">
      <c r="A51" s="40"/>
      <c r="B51" s="105"/>
      <c r="C51" s="106"/>
      <c r="D51" s="106"/>
      <c r="E51" s="106"/>
      <c r="F51" s="107"/>
    </row>
    <row r="52" spans="1:6" ht="26.25" customHeight="1" x14ac:dyDescent="0.25">
      <c r="A52" s="40"/>
      <c r="B52" s="105"/>
      <c r="C52" s="106"/>
      <c r="D52" s="106"/>
      <c r="E52" s="106"/>
      <c r="F52" s="107"/>
    </row>
    <row r="53" spans="1:6" ht="33" hidden="1" customHeight="1" x14ac:dyDescent="0.25">
      <c r="A53" s="40"/>
      <c r="B53" s="105"/>
      <c r="C53" s="106"/>
      <c r="D53" s="106"/>
      <c r="E53" s="106"/>
      <c r="F53" s="107"/>
    </row>
    <row r="54" spans="1:6" ht="105.75" hidden="1" customHeight="1" thickBot="1" x14ac:dyDescent="0.3">
      <c r="A54" s="40"/>
      <c r="B54" s="108"/>
      <c r="C54" s="109"/>
      <c r="D54" s="109"/>
      <c r="E54" s="109"/>
      <c r="F54" s="110"/>
    </row>
    <row r="55" spans="1:6" s="4" customFormat="1" ht="19.5" customHeight="1" x14ac:dyDescent="0.35">
      <c r="A55" s="6"/>
      <c r="D55" s="24"/>
      <c r="E55" s="24"/>
      <c r="F55" s="24"/>
    </row>
    <row r="56" spans="1:6" s="4" customFormat="1" ht="19.899999999999999" customHeight="1" x14ac:dyDescent="0.35">
      <c r="A56" s="6"/>
      <c r="D56" s="24"/>
      <c r="E56" s="24"/>
      <c r="F56" s="24"/>
    </row>
    <row r="57" spans="1:6" s="4" customFormat="1" ht="15" customHeight="1" x14ac:dyDescent="0.35">
      <c r="A57" s="6"/>
      <c r="E57" s="24"/>
      <c r="F57" s="24"/>
    </row>
    <row r="58" spans="1:6" ht="19.899999999999999" customHeight="1" x14ac:dyDescent="0.35">
      <c r="A58" s="2"/>
      <c r="B58" s="16"/>
      <c r="E58" s="18"/>
      <c r="F58" s="18"/>
    </row>
    <row r="59" spans="1:6" ht="19.899999999999999" customHeight="1" x14ac:dyDescent="0.35">
      <c r="A59" s="2"/>
      <c r="B59" s="17"/>
      <c r="C59" s="18"/>
      <c r="D59" s="18"/>
      <c r="E59" s="18"/>
      <c r="F59" s="19"/>
    </row>
    <row r="60" spans="1:6" ht="19.899999999999999" customHeight="1" x14ac:dyDescent="0.35">
      <c r="A60" s="2"/>
      <c r="C60" s="18"/>
      <c r="D60" s="18"/>
      <c r="E60" s="18"/>
      <c r="F60" s="18"/>
    </row>
    <row r="61" spans="1:6" ht="19.899999999999999" customHeight="1" x14ac:dyDescent="0.35">
      <c r="A61" s="2"/>
      <c r="C61" s="18"/>
      <c r="D61" s="18"/>
      <c r="E61" s="18"/>
      <c r="F61" s="18"/>
    </row>
    <row r="62" spans="1:6" ht="19.899999999999999" customHeight="1" x14ac:dyDescent="0.35">
      <c r="A62" s="2"/>
      <c r="C62" s="18"/>
      <c r="D62" s="18"/>
      <c r="E62" s="18"/>
      <c r="F62" s="18"/>
    </row>
    <row r="63" spans="1:6" ht="19.899999999999999" customHeight="1" x14ac:dyDescent="0.35">
      <c r="A63" s="2"/>
      <c r="C63" s="18"/>
      <c r="D63" s="18"/>
      <c r="E63" s="18"/>
      <c r="F63" s="18"/>
    </row>
    <row r="64" spans="1:6" ht="19.899999999999999" customHeight="1" x14ac:dyDescent="0.35">
      <c r="A64" s="2"/>
      <c r="D64" s="18"/>
      <c r="E64" s="18"/>
      <c r="F64" s="18"/>
    </row>
    <row r="65" spans="1:6" ht="28.5" customHeight="1" x14ac:dyDescent="0.3">
      <c r="A65" s="23"/>
      <c r="E65" s="18"/>
      <c r="F65" s="18"/>
    </row>
    <row r="66" spans="1:6" ht="33" customHeight="1" x14ac:dyDescent="0.3">
      <c r="A66" s="23"/>
    </row>
    <row r="67" spans="1:6" ht="33" customHeight="1" x14ac:dyDescent="0.3">
      <c r="A67" s="23"/>
    </row>
    <row r="68" spans="1:6" ht="33" customHeight="1" x14ac:dyDescent="0.3">
      <c r="A68" s="23"/>
    </row>
    <row r="69" spans="1:6" ht="33" customHeight="1" x14ac:dyDescent="0.3">
      <c r="A69" s="23"/>
    </row>
    <row r="70" spans="1:6" x14ac:dyDescent="0.3">
      <c r="A70" s="23"/>
    </row>
    <row r="71" spans="1:6" ht="19.899999999999999" customHeight="1" x14ac:dyDescent="0.35">
      <c r="A71" s="2"/>
    </row>
    <row r="72" spans="1:6" ht="19.899999999999999" customHeight="1" x14ac:dyDescent="0.35">
      <c r="A72" s="2"/>
    </row>
    <row r="73" spans="1:6" ht="15" customHeight="1" x14ac:dyDescent="0.35">
      <c r="A73" s="2"/>
    </row>
    <row r="74" spans="1:6" ht="19.899999999999999" customHeight="1" x14ac:dyDescent="0.35">
      <c r="A74" s="2"/>
    </row>
    <row r="75" spans="1:6" ht="19.899999999999999" customHeight="1" x14ac:dyDescent="0.35">
      <c r="A75" s="2"/>
    </row>
    <row r="76" spans="1:6" ht="19.899999999999999" customHeight="1" x14ac:dyDescent="0.35">
      <c r="A76" s="2"/>
    </row>
    <row r="77" spans="1:6" ht="19.899999999999999" customHeight="1" x14ac:dyDescent="0.35">
      <c r="A77" s="2"/>
    </row>
    <row r="78" spans="1:6" ht="19.899999999999999" customHeight="1" x14ac:dyDescent="0.35">
      <c r="A78" s="2"/>
    </row>
    <row r="79" spans="1:6" ht="19.899999999999999" customHeight="1" x14ac:dyDescent="0.35">
      <c r="A79" s="2"/>
    </row>
    <row r="80" spans="1:6" ht="19.899999999999999" customHeight="1" x14ac:dyDescent="0.35">
      <c r="A80" s="2"/>
    </row>
    <row r="81" spans="1:1" ht="15" customHeight="1" x14ac:dyDescent="0.35">
      <c r="A81" s="2"/>
    </row>
    <row r="82" spans="1:1" ht="19.5" customHeight="1" x14ac:dyDescent="0.35">
      <c r="A82" s="2"/>
    </row>
    <row r="83" spans="1:1" ht="19.899999999999999" customHeight="1" x14ac:dyDescent="0.35">
      <c r="A83" s="2"/>
    </row>
    <row r="84" spans="1:1" ht="19.899999999999999" customHeight="1" x14ac:dyDescent="0.35">
      <c r="A84" s="2"/>
    </row>
    <row r="85" spans="1:1" ht="19.899999999999999" customHeight="1" x14ac:dyDescent="0.35">
      <c r="A85" s="2"/>
    </row>
    <row r="86" spans="1:1" ht="19.899999999999999" customHeight="1" x14ac:dyDescent="0.35">
      <c r="A86" s="2"/>
    </row>
    <row r="87" spans="1:1" ht="19.899999999999999" customHeight="1" x14ac:dyDescent="0.35">
      <c r="A87" s="2"/>
    </row>
    <row r="88" spans="1:1" ht="19.899999999999999" customHeight="1" x14ac:dyDescent="0.35">
      <c r="A88" s="2"/>
    </row>
    <row r="89" spans="1:1" ht="19.899999999999999" customHeight="1" x14ac:dyDescent="0.35">
      <c r="A89" s="2"/>
    </row>
    <row r="90" spans="1:1" ht="19.899999999999999" customHeight="1" x14ac:dyDescent="0.35">
      <c r="A90" s="2"/>
    </row>
    <row r="91" spans="1:1" ht="15" customHeight="1" x14ac:dyDescent="0.35">
      <c r="A91" s="2"/>
    </row>
    <row r="92" spans="1:1" ht="19.899999999999999" customHeight="1" x14ac:dyDescent="0.35">
      <c r="A92" s="2"/>
    </row>
    <row r="93" spans="1:1" ht="19.899999999999999" customHeight="1" x14ac:dyDescent="0.35">
      <c r="A93" s="2"/>
    </row>
    <row r="94" spans="1:1" ht="19.899999999999999" customHeight="1" x14ac:dyDescent="0.35">
      <c r="A94" s="2"/>
    </row>
    <row r="95" spans="1:1" ht="19.899999999999999" customHeight="1" x14ac:dyDescent="0.35">
      <c r="A95" s="2"/>
    </row>
    <row r="96" spans="1:1" ht="19.899999999999999" customHeight="1" x14ac:dyDescent="0.35">
      <c r="A96" s="2"/>
    </row>
    <row r="97" spans="1:6" ht="19.899999999999999" customHeight="1" x14ac:dyDescent="0.35">
      <c r="A97" s="2"/>
    </row>
    <row r="98" spans="1:6" ht="19.899999999999999" customHeight="1" x14ac:dyDescent="0.35">
      <c r="A98" s="2"/>
    </row>
    <row r="99" spans="1:6" ht="19.899999999999999" customHeight="1" x14ac:dyDescent="0.35">
      <c r="A99" s="2"/>
    </row>
    <row r="100" spans="1:6" ht="19.899999999999999" customHeight="1" x14ac:dyDescent="0.35">
      <c r="A100" s="2"/>
    </row>
    <row r="101" spans="1:6" ht="19.899999999999999" customHeight="1" x14ac:dyDescent="0.35">
      <c r="A101" s="2"/>
    </row>
    <row r="102" spans="1:6" ht="20.25" customHeight="1" x14ac:dyDescent="0.35">
      <c r="A102" s="2"/>
    </row>
    <row r="103" spans="1:6" ht="19.899999999999999" customHeight="1" x14ac:dyDescent="0.35">
      <c r="A103" s="2"/>
    </row>
    <row r="104" spans="1:6" s="5" customFormat="1" ht="19.899999999999999" customHeight="1" x14ac:dyDescent="0.35">
      <c r="A104" s="2"/>
      <c r="B104"/>
      <c r="C104"/>
      <c r="D104"/>
      <c r="E104"/>
      <c r="F104"/>
    </row>
    <row r="105" spans="1:6" s="5" customFormat="1" ht="19.899999999999999" customHeight="1" x14ac:dyDescent="0.35">
      <c r="A105" s="2"/>
      <c r="B105"/>
      <c r="C105"/>
      <c r="D105"/>
      <c r="E105"/>
      <c r="F105"/>
    </row>
    <row r="106" spans="1:6" s="5" customFormat="1" ht="19.899999999999999" customHeight="1" x14ac:dyDescent="0.35">
      <c r="A106" s="2"/>
      <c r="B106"/>
      <c r="C106"/>
      <c r="D106"/>
      <c r="E106"/>
      <c r="F106"/>
    </row>
    <row r="107" spans="1:6" ht="21" customHeight="1" x14ac:dyDescent="0.35">
      <c r="A107" s="2"/>
    </row>
    <row r="108" spans="1:6" ht="20.25" customHeight="1" x14ac:dyDescent="0.35">
      <c r="A108" s="2"/>
    </row>
    <row r="109" spans="1:6" ht="33" customHeight="1" x14ac:dyDescent="0.35">
      <c r="A109" s="6"/>
    </row>
    <row r="110" spans="1:6" ht="33" customHeight="1" thickBot="1" x14ac:dyDescent="0.4">
      <c r="A110" s="7"/>
    </row>
    <row r="111" spans="1:6" ht="33" customHeight="1" x14ac:dyDescent="0.35">
      <c r="A111" s="8"/>
    </row>
    <row r="112" spans="1:6" ht="33" customHeight="1" x14ac:dyDescent="0.35">
      <c r="A112" s="10"/>
    </row>
    <row r="113" spans="1:1" ht="33" customHeight="1" thickBot="1" x14ac:dyDescent="0.4">
      <c r="A113" s="12"/>
    </row>
    <row r="114" spans="1:1" ht="33" customHeight="1" x14ac:dyDescent="0.3">
      <c r="A114" s="14"/>
    </row>
    <row r="115" spans="1:1" ht="33" customHeight="1" x14ac:dyDescent="0.25">
      <c r="A115" s="15"/>
    </row>
    <row r="116" spans="1:1" ht="33" customHeight="1" x14ac:dyDescent="0.3"/>
    <row r="117" spans="1:1" ht="33" customHeight="1" x14ac:dyDescent="0.3"/>
    <row r="118" spans="1:1" ht="33" customHeight="1" x14ac:dyDescent="0.3"/>
    <row r="119" spans="1:1" ht="33" customHeight="1" x14ac:dyDescent="0.3"/>
    <row r="120" spans="1:1" ht="33" customHeight="1" x14ac:dyDescent="0.3"/>
    <row r="123" spans="1:1" ht="33" customHeight="1" x14ac:dyDescent="0.3"/>
    <row r="124" spans="1:1" ht="33" customHeight="1" x14ac:dyDescent="0.3"/>
    <row r="125" spans="1:1" ht="33" customHeight="1" x14ac:dyDescent="0.3"/>
    <row r="126" spans="1:1" ht="33" customHeight="1" x14ac:dyDescent="0.3"/>
    <row r="127" spans="1:1" ht="33" customHeight="1" x14ac:dyDescent="0.3"/>
    <row r="128" spans="1:1" ht="33" customHeight="1" x14ac:dyDescent="0.3"/>
    <row r="129" ht="33" customHeight="1" x14ac:dyDescent="0.3"/>
    <row r="130" ht="33" customHeight="1" x14ac:dyDescent="0.3"/>
    <row r="131" ht="33" customHeight="1" x14ac:dyDescent="0.3"/>
    <row r="132" ht="33" customHeight="1" x14ac:dyDescent="0.3"/>
    <row r="133" ht="33" customHeight="1" x14ac:dyDescent="0.3"/>
    <row r="134" ht="33" customHeight="1" x14ac:dyDescent="0.3"/>
    <row r="135" ht="33" customHeight="1" x14ac:dyDescent="0.3"/>
    <row r="136" ht="33" customHeight="1" x14ac:dyDescent="0.3"/>
    <row r="137" ht="33" customHeight="1" x14ac:dyDescent="0.3"/>
    <row r="138" ht="33" customHeight="1" x14ac:dyDescent="0.3"/>
  </sheetData>
  <mergeCells count="4">
    <mergeCell ref="B49:F54"/>
    <mergeCell ref="A1:F1"/>
    <mergeCell ref="B2:F2"/>
    <mergeCell ref="A3:F3"/>
  </mergeCells>
  <pageMargins left="0.25" right="0.25" top="0.75" bottom="0.75" header="0.3" footer="0.3"/>
  <pageSetup paperSize="5" scale="45" orientation="portrait" r:id="rId1"/>
  <ignoredErrors>
    <ignoredError sqref="D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22" sqref="E22"/>
    </sheetView>
  </sheetViews>
  <sheetFormatPr defaultRowHeight="15" x14ac:dyDescent="0.25"/>
  <cols>
    <col min="1" max="1" width="43" bestFit="1" customWidth="1"/>
    <col min="2" max="2" width="15.140625" style="18" customWidth="1"/>
    <col min="3" max="3" width="19.42578125" style="18" customWidth="1"/>
    <col min="4" max="4" width="17.140625" style="18" customWidth="1"/>
    <col min="5" max="5" width="13.42578125" customWidth="1"/>
  </cols>
  <sheetData>
    <row r="1" spans="1:5" ht="15.75" thickBot="1" x14ac:dyDescent="0.3">
      <c r="B1" s="18">
        <v>1</v>
      </c>
      <c r="C1" s="18">
        <v>2</v>
      </c>
      <c r="D1" s="18">
        <v>3</v>
      </c>
    </row>
    <row r="2" spans="1:5" ht="23.25" x14ac:dyDescent="0.35">
      <c r="A2" s="25" t="s">
        <v>7</v>
      </c>
      <c r="B2" s="9">
        <v>776</v>
      </c>
      <c r="C2" s="9">
        <v>762</v>
      </c>
      <c r="D2" s="9">
        <v>776</v>
      </c>
      <c r="E2" s="9">
        <v>2314</v>
      </c>
    </row>
    <row r="3" spans="1:5" ht="23.25" x14ac:dyDescent="0.35">
      <c r="A3" s="26" t="s">
        <v>8</v>
      </c>
      <c r="B3" s="11">
        <v>2482</v>
      </c>
      <c r="C3" s="11">
        <v>2531</v>
      </c>
      <c r="D3" s="11">
        <v>2371</v>
      </c>
      <c r="E3" s="11">
        <v>7384</v>
      </c>
    </row>
    <row r="4" spans="1:5" ht="24" thickBot="1" x14ac:dyDescent="0.4">
      <c r="A4" s="27" t="s">
        <v>9</v>
      </c>
      <c r="B4" s="13">
        <f>B2/B3</f>
        <v>0.3126510878323932</v>
      </c>
      <c r="C4" s="13">
        <f t="shared" ref="C4:E4" si="0">C2/C3</f>
        <v>0.30106677202686682</v>
      </c>
      <c r="D4" s="13">
        <f t="shared" si="0"/>
        <v>0.32728806410797134</v>
      </c>
      <c r="E4" s="13">
        <f t="shared" si="0"/>
        <v>0.31338028169014087</v>
      </c>
    </row>
    <row r="5" spans="1:5" x14ac:dyDescent="0.25">
      <c r="A5" s="116" t="s">
        <v>63</v>
      </c>
      <c r="B5" s="117"/>
      <c r="C5" s="117"/>
      <c r="D5" s="117"/>
      <c r="E5" s="117"/>
    </row>
    <row r="6" spans="1:5" x14ac:dyDescent="0.25">
      <c r="A6" s="117"/>
      <c r="B6" s="117"/>
      <c r="C6" s="117"/>
      <c r="D6" s="117"/>
      <c r="E6" s="117"/>
    </row>
    <row r="7" spans="1:5" x14ac:dyDescent="0.25">
      <c r="A7" s="117"/>
      <c r="B7" s="117"/>
      <c r="C7" s="117"/>
      <c r="D7" s="117"/>
      <c r="E7" s="117"/>
    </row>
    <row r="8" spans="1:5" x14ac:dyDescent="0.25">
      <c r="A8" s="117"/>
      <c r="B8" s="117"/>
      <c r="C8" s="117"/>
      <c r="D8" s="117"/>
      <c r="E8" s="117"/>
    </row>
    <row r="9" spans="1:5" x14ac:dyDescent="0.25">
      <c r="A9" s="117"/>
      <c r="B9" s="117"/>
      <c r="C9" s="117"/>
      <c r="D9" s="117"/>
      <c r="E9" s="117"/>
    </row>
    <row r="10" spans="1:5" x14ac:dyDescent="0.25">
      <c r="A10" s="117"/>
      <c r="B10" s="117"/>
      <c r="C10" s="117"/>
      <c r="D10" s="117"/>
      <c r="E10" s="117"/>
    </row>
    <row r="11" spans="1:5" x14ac:dyDescent="0.25">
      <c r="A11" s="117"/>
      <c r="B11" s="117"/>
      <c r="C11" s="117"/>
      <c r="D11" s="117"/>
      <c r="E11" s="117"/>
    </row>
    <row r="12" spans="1:5" x14ac:dyDescent="0.25">
      <c r="A12" s="117"/>
      <c r="B12" s="117"/>
      <c r="C12" s="117"/>
      <c r="D12" s="117"/>
      <c r="E12" s="117"/>
    </row>
    <row r="13" spans="1:5" x14ac:dyDescent="0.25">
      <c r="A13" s="117"/>
      <c r="B13" s="117"/>
      <c r="C13" s="117"/>
      <c r="D13" s="117"/>
      <c r="E13" s="117"/>
    </row>
    <row r="14" spans="1:5" x14ac:dyDescent="0.25">
      <c r="A14" s="117"/>
      <c r="B14" s="117"/>
      <c r="C14" s="117"/>
      <c r="D14" s="117"/>
      <c r="E14" s="117"/>
    </row>
    <row r="15" spans="1:5" x14ac:dyDescent="0.25">
      <c r="A15" s="117"/>
      <c r="B15" s="117"/>
      <c r="C15" s="117"/>
      <c r="D15" s="117"/>
      <c r="E15" s="117"/>
    </row>
    <row r="16" spans="1:5" x14ac:dyDescent="0.25">
      <c r="A16" s="117"/>
      <c r="B16" s="117"/>
      <c r="C16" s="117"/>
      <c r="D16" s="117"/>
      <c r="E16" s="117"/>
    </row>
    <row r="17" spans="1:5" x14ac:dyDescent="0.25">
      <c r="A17" s="117"/>
      <c r="B17" s="117"/>
      <c r="C17" s="117"/>
      <c r="D17" s="117"/>
      <c r="E17" s="117"/>
    </row>
    <row r="18" spans="1:5" x14ac:dyDescent="0.25">
      <c r="A18" s="117"/>
      <c r="B18" s="117"/>
      <c r="C18" s="117"/>
      <c r="D18" s="117"/>
      <c r="E18" s="117"/>
    </row>
  </sheetData>
  <mergeCells count="1">
    <mergeCell ref="A5:E18"/>
  </mergeCells>
  <pageMargins left="0.25" right="0.25" top="0.75" bottom="0.75" header="0.3" footer="0.3"/>
  <pageSetup paperSize="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workbookViewId="0">
      <selection sqref="A1:G34"/>
    </sheetView>
  </sheetViews>
  <sheetFormatPr defaultRowHeight="15" x14ac:dyDescent="0.25"/>
  <cols>
    <col min="1" max="1" width="22.5703125" bestFit="1" customWidth="1"/>
    <col min="6" max="6" width="27.140625" customWidth="1"/>
  </cols>
  <sheetData>
    <row r="1" spans="1:6" x14ac:dyDescent="0.25">
      <c r="A1" s="83" t="s">
        <v>65</v>
      </c>
      <c r="B1" s="83" t="s">
        <v>71</v>
      </c>
      <c r="C1" s="83" t="s">
        <v>72</v>
      </c>
      <c r="D1" s="83" t="s">
        <v>73</v>
      </c>
    </row>
    <row r="2" spans="1:6" x14ac:dyDescent="0.25">
      <c r="A2" s="84" t="s">
        <v>64</v>
      </c>
      <c r="B2" s="84">
        <v>0</v>
      </c>
      <c r="C2" s="84">
        <v>22</v>
      </c>
      <c r="D2" s="84">
        <v>12</v>
      </c>
    </row>
    <row r="3" spans="1:6" x14ac:dyDescent="0.25">
      <c r="A3" s="85" t="s">
        <v>111</v>
      </c>
      <c r="B3" s="84"/>
      <c r="C3" s="84"/>
      <c r="D3" s="84"/>
    </row>
    <row r="4" spans="1:6" x14ac:dyDescent="0.25">
      <c r="A4" s="86" t="s">
        <v>113</v>
      </c>
      <c r="B4" s="84">
        <v>1</v>
      </c>
      <c r="C4" s="84">
        <v>4</v>
      </c>
      <c r="D4" s="84"/>
    </row>
    <row r="5" spans="1:6" x14ac:dyDescent="0.25">
      <c r="A5" s="86" t="s">
        <v>114</v>
      </c>
      <c r="B5" s="84">
        <v>1</v>
      </c>
      <c r="C5" s="84">
        <v>6</v>
      </c>
      <c r="D5" s="84"/>
    </row>
    <row r="6" spans="1:6" x14ac:dyDescent="0.25">
      <c r="A6" s="86" t="s">
        <v>110</v>
      </c>
      <c r="B6" s="84">
        <v>1</v>
      </c>
      <c r="C6" s="84">
        <v>6</v>
      </c>
      <c r="D6" s="84"/>
      <c r="F6" s="70"/>
    </row>
    <row r="7" spans="1:6" x14ac:dyDescent="0.25">
      <c r="A7" s="86" t="s">
        <v>115</v>
      </c>
      <c r="B7" s="84">
        <v>1</v>
      </c>
      <c r="C7" s="84">
        <v>4</v>
      </c>
      <c r="D7" s="84"/>
    </row>
    <row r="8" spans="1:6" x14ac:dyDescent="0.25">
      <c r="A8" s="86" t="s">
        <v>116</v>
      </c>
      <c r="B8" s="84">
        <v>1</v>
      </c>
      <c r="C8" s="84">
        <v>3</v>
      </c>
      <c r="D8" s="84"/>
    </row>
    <row r="9" spans="1:6" x14ac:dyDescent="0.25">
      <c r="A9" s="86" t="s">
        <v>117</v>
      </c>
      <c r="B9" s="84"/>
      <c r="C9" s="84">
        <v>2</v>
      </c>
      <c r="D9" s="84"/>
    </row>
    <row r="10" spans="1:6" x14ac:dyDescent="0.25">
      <c r="A10" s="86" t="s">
        <v>118</v>
      </c>
      <c r="B10" s="84">
        <v>1</v>
      </c>
      <c r="C10" s="84">
        <v>5</v>
      </c>
      <c r="D10" s="84"/>
    </row>
    <row r="11" spans="1:6" x14ac:dyDescent="0.25">
      <c r="A11" s="86" t="s">
        <v>119</v>
      </c>
      <c r="B11" s="84"/>
      <c r="C11" s="84">
        <v>5</v>
      </c>
      <c r="D11" s="84"/>
    </row>
    <row r="12" spans="1:6" x14ac:dyDescent="0.25">
      <c r="A12" s="86" t="s">
        <v>120</v>
      </c>
      <c r="B12" s="84">
        <v>1</v>
      </c>
      <c r="C12" s="84">
        <v>5</v>
      </c>
      <c r="D12" s="84"/>
    </row>
    <row r="13" spans="1:6" x14ac:dyDescent="0.25">
      <c r="A13" s="86" t="s">
        <v>121</v>
      </c>
      <c r="B13" s="84">
        <v>1</v>
      </c>
      <c r="C13" s="84">
        <v>5</v>
      </c>
      <c r="D13" s="84"/>
    </row>
    <row r="14" spans="1:6" x14ac:dyDescent="0.25">
      <c r="A14" s="86" t="s">
        <v>122</v>
      </c>
      <c r="B14" s="84">
        <v>1</v>
      </c>
      <c r="C14" s="84">
        <v>4</v>
      </c>
      <c r="D14" s="84"/>
    </row>
    <row r="15" spans="1:6" x14ac:dyDescent="0.25">
      <c r="A15" s="86" t="s">
        <v>123</v>
      </c>
      <c r="B15" s="84">
        <v>1</v>
      </c>
      <c r="C15" s="84">
        <v>4</v>
      </c>
      <c r="D15" s="84"/>
    </row>
    <row r="16" spans="1:6" x14ac:dyDescent="0.25">
      <c r="A16" s="86" t="s">
        <v>124</v>
      </c>
      <c r="B16" s="84">
        <v>1</v>
      </c>
      <c r="C16" s="84">
        <v>4</v>
      </c>
      <c r="D16" s="84"/>
    </row>
    <row r="17" spans="1:7" x14ac:dyDescent="0.25">
      <c r="A17" s="92" t="s">
        <v>125</v>
      </c>
      <c r="B17" s="91">
        <v>1</v>
      </c>
      <c r="C17" s="91">
        <v>4</v>
      </c>
      <c r="D17" s="91"/>
    </row>
    <row r="18" spans="1:7" ht="15.75" thickBot="1" x14ac:dyDescent="0.3">
      <c r="A18" s="86" t="s">
        <v>126</v>
      </c>
      <c r="B18" s="86">
        <v>1</v>
      </c>
      <c r="C18" s="86">
        <v>4</v>
      </c>
      <c r="D18" s="86"/>
    </row>
    <row r="19" spans="1:7" ht="15.75" thickBot="1" x14ac:dyDescent="0.3">
      <c r="A19" s="95" t="s">
        <v>112</v>
      </c>
      <c r="B19" s="95"/>
      <c r="C19" s="95">
        <v>3</v>
      </c>
      <c r="D19" s="95"/>
      <c r="E19" s="71"/>
      <c r="F19" s="81" t="s">
        <v>127</v>
      </c>
      <c r="G19" s="82">
        <v>115</v>
      </c>
    </row>
    <row r="20" spans="1:7" ht="15.75" thickBot="1" x14ac:dyDescent="0.3">
      <c r="A20" s="94" t="s">
        <v>69</v>
      </c>
      <c r="B20" s="94"/>
      <c r="C20" s="94">
        <v>1</v>
      </c>
      <c r="D20" s="94"/>
    </row>
    <row r="21" spans="1:7" ht="15.75" thickBot="1" x14ac:dyDescent="0.3">
      <c r="A21" s="93" t="s">
        <v>70</v>
      </c>
      <c r="B21" s="94"/>
      <c r="C21" s="93">
        <v>1</v>
      </c>
      <c r="D21" s="93"/>
      <c r="F21" s="81" t="s">
        <v>134</v>
      </c>
      <c r="G21" s="82">
        <v>25</v>
      </c>
    </row>
    <row r="22" spans="1:7" x14ac:dyDescent="0.25">
      <c r="A22" s="93" t="s">
        <v>74</v>
      </c>
      <c r="B22" s="93"/>
      <c r="C22" s="93">
        <v>1</v>
      </c>
      <c r="D22" s="93"/>
    </row>
    <row r="23" spans="1:7" x14ac:dyDescent="0.25">
      <c r="A23" s="93" t="s">
        <v>75</v>
      </c>
      <c r="B23" s="93"/>
      <c r="C23" s="93">
        <v>1</v>
      </c>
      <c r="D23" s="93"/>
    </row>
    <row r="24" spans="1:7" x14ac:dyDescent="0.25">
      <c r="A24" s="93" t="s">
        <v>76</v>
      </c>
      <c r="B24" s="93">
        <v>2</v>
      </c>
      <c r="C24" s="93">
        <v>8</v>
      </c>
      <c r="D24" s="93">
        <v>3</v>
      </c>
    </row>
    <row r="25" spans="1:7" x14ac:dyDescent="0.25">
      <c r="A25" s="93" t="s">
        <v>77</v>
      </c>
      <c r="B25" s="93"/>
      <c r="C25" s="93">
        <v>1</v>
      </c>
      <c r="D25" s="93"/>
    </row>
    <row r="26" spans="1:7" x14ac:dyDescent="0.25">
      <c r="A26" s="93" t="s">
        <v>95</v>
      </c>
      <c r="B26" s="93"/>
      <c r="C26" s="93"/>
      <c r="D26" s="93">
        <v>1</v>
      </c>
    </row>
    <row r="27" spans="1:7" x14ac:dyDescent="0.25">
      <c r="A27" s="93" t="s">
        <v>103</v>
      </c>
      <c r="B27" s="93"/>
      <c r="C27" s="93"/>
      <c r="D27" s="93">
        <v>1</v>
      </c>
    </row>
    <row r="28" spans="1:7" x14ac:dyDescent="0.25">
      <c r="A28" s="93" t="s">
        <v>106</v>
      </c>
      <c r="B28" s="93">
        <v>1</v>
      </c>
      <c r="C28" s="93"/>
      <c r="D28" s="93"/>
    </row>
    <row r="29" spans="1:7" x14ac:dyDescent="0.25">
      <c r="A29" s="93" t="s">
        <v>107</v>
      </c>
      <c r="B29" s="93">
        <v>1</v>
      </c>
      <c r="C29" s="93"/>
      <c r="D29" s="93"/>
    </row>
    <row r="30" spans="1:7" x14ac:dyDescent="0.25">
      <c r="A30" s="93" t="s">
        <v>108</v>
      </c>
      <c r="B30" s="93">
        <v>1</v>
      </c>
      <c r="C30" s="93"/>
      <c r="D30" s="93"/>
    </row>
    <row r="31" spans="1:7" x14ac:dyDescent="0.25">
      <c r="A31" s="93" t="s">
        <v>67</v>
      </c>
      <c r="B31" s="93">
        <v>1</v>
      </c>
      <c r="C31" s="93"/>
      <c r="D31" s="93"/>
    </row>
    <row r="32" spans="1:7" ht="15.75" thickBot="1" x14ac:dyDescent="0.3">
      <c r="A32" s="96" t="s">
        <v>109</v>
      </c>
      <c r="B32" s="96">
        <v>1</v>
      </c>
      <c r="C32" s="96"/>
      <c r="D32" s="96"/>
    </row>
    <row r="33" spans="1:7" ht="15.75" thickBot="1" x14ac:dyDescent="0.3">
      <c r="A33" s="97" t="s">
        <v>3</v>
      </c>
      <c r="B33" s="98">
        <f>SUM(B2:B32)</f>
        <v>20</v>
      </c>
      <c r="C33" s="98">
        <f>SUM(C2:C32)</f>
        <v>103</v>
      </c>
      <c r="D33" s="99">
        <f>SUM(D2:D32)</f>
        <v>17</v>
      </c>
      <c r="F33" s="81" t="s">
        <v>128</v>
      </c>
      <c r="G33" s="82">
        <v>140</v>
      </c>
    </row>
    <row r="37" spans="1:7" x14ac:dyDescent="0.25">
      <c r="E37" s="69"/>
    </row>
  </sheetData>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sqref="A1:H37"/>
    </sheetView>
  </sheetViews>
  <sheetFormatPr defaultRowHeight="15" x14ac:dyDescent="0.25"/>
  <cols>
    <col min="1" max="1" width="21.85546875" bestFit="1" customWidth="1"/>
    <col min="7" max="7" width="26.5703125" bestFit="1" customWidth="1"/>
  </cols>
  <sheetData>
    <row r="1" spans="1:9" ht="15.75" thickBot="1" x14ac:dyDescent="0.3">
      <c r="A1" s="68" t="s">
        <v>66</v>
      </c>
      <c r="B1" s="68" t="s">
        <v>71</v>
      </c>
      <c r="C1" s="68" t="s">
        <v>72</v>
      </c>
      <c r="D1" s="68" t="s">
        <v>73</v>
      </c>
    </row>
    <row r="2" spans="1:9" ht="15.75" thickBot="1" x14ac:dyDescent="0.3"/>
    <row r="3" spans="1:9" x14ac:dyDescent="0.25">
      <c r="A3" s="72" t="s">
        <v>68</v>
      </c>
      <c r="B3" s="73">
        <v>0</v>
      </c>
      <c r="C3" s="73">
        <v>9</v>
      </c>
      <c r="D3" s="74">
        <v>4</v>
      </c>
    </row>
    <row r="4" spans="1:9" ht="15.75" thickBot="1" x14ac:dyDescent="0.3">
      <c r="A4" s="75"/>
      <c r="B4" s="4"/>
      <c r="C4" s="4"/>
      <c r="D4" s="76"/>
    </row>
    <row r="5" spans="1:9" ht="15.75" thickBot="1" x14ac:dyDescent="0.3">
      <c r="A5" s="77" t="s">
        <v>67</v>
      </c>
      <c r="B5" s="78">
        <v>1</v>
      </c>
      <c r="C5" s="78">
        <v>1</v>
      </c>
      <c r="D5" s="79">
        <v>2</v>
      </c>
      <c r="G5" s="81" t="s">
        <v>127</v>
      </c>
      <c r="H5" s="87">
        <v>17</v>
      </c>
    </row>
    <row r="6" spans="1:9" x14ac:dyDescent="0.25">
      <c r="A6" t="s">
        <v>96</v>
      </c>
      <c r="C6">
        <v>1</v>
      </c>
      <c r="D6">
        <v>1</v>
      </c>
    </row>
    <row r="7" spans="1:9" ht="15.75" thickBot="1" x14ac:dyDescent="0.3">
      <c r="A7" t="s">
        <v>92</v>
      </c>
      <c r="C7">
        <v>1</v>
      </c>
    </row>
    <row r="8" spans="1:9" ht="15.75" thickBot="1" x14ac:dyDescent="0.3">
      <c r="A8" t="s">
        <v>78</v>
      </c>
      <c r="C8">
        <v>1</v>
      </c>
      <c r="G8" s="81" t="s">
        <v>134</v>
      </c>
      <c r="H8" s="87">
        <v>55</v>
      </c>
      <c r="I8" s="4"/>
    </row>
    <row r="9" spans="1:9" x14ac:dyDescent="0.25">
      <c r="A9" t="s">
        <v>79</v>
      </c>
      <c r="C9">
        <v>1</v>
      </c>
    </row>
    <row r="10" spans="1:9" x14ac:dyDescent="0.25">
      <c r="A10" t="s">
        <v>133</v>
      </c>
      <c r="B10">
        <v>2</v>
      </c>
    </row>
    <row r="11" spans="1:9" x14ac:dyDescent="0.25">
      <c r="A11" t="s">
        <v>80</v>
      </c>
      <c r="C11">
        <v>1</v>
      </c>
    </row>
    <row r="12" spans="1:9" x14ac:dyDescent="0.25">
      <c r="A12" t="s">
        <v>81</v>
      </c>
      <c r="C12">
        <v>1</v>
      </c>
    </row>
    <row r="13" spans="1:9" x14ac:dyDescent="0.25">
      <c r="A13" t="s">
        <v>82</v>
      </c>
      <c r="B13">
        <v>1</v>
      </c>
      <c r="C13">
        <v>1</v>
      </c>
    </row>
    <row r="14" spans="1:9" x14ac:dyDescent="0.25">
      <c r="A14" t="s">
        <v>83</v>
      </c>
      <c r="B14">
        <v>2</v>
      </c>
      <c r="C14">
        <v>2</v>
      </c>
      <c r="D14">
        <v>1</v>
      </c>
    </row>
    <row r="15" spans="1:9" x14ac:dyDescent="0.25">
      <c r="A15" t="s">
        <v>84</v>
      </c>
      <c r="C15">
        <v>1</v>
      </c>
      <c r="G15" s="80"/>
    </row>
    <row r="16" spans="1:9" x14ac:dyDescent="0.25">
      <c r="A16" t="s">
        <v>85</v>
      </c>
      <c r="C16">
        <v>5</v>
      </c>
      <c r="H16" s="17"/>
    </row>
    <row r="17" spans="1:4" x14ac:dyDescent="0.25">
      <c r="A17" t="s">
        <v>102</v>
      </c>
      <c r="C17">
        <v>1</v>
      </c>
      <c r="D17">
        <v>1</v>
      </c>
    </row>
    <row r="18" spans="1:4" x14ac:dyDescent="0.25">
      <c r="A18" t="s">
        <v>86</v>
      </c>
      <c r="C18">
        <v>2</v>
      </c>
    </row>
    <row r="19" spans="1:4" x14ac:dyDescent="0.25">
      <c r="A19" t="s">
        <v>87</v>
      </c>
      <c r="C19">
        <v>2</v>
      </c>
    </row>
    <row r="20" spans="1:4" x14ac:dyDescent="0.25">
      <c r="A20" t="s">
        <v>93</v>
      </c>
      <c r="C20">
        <v>1</v>
      </c>
      <c r="D20">
        <v>1</v>
      </c>
    </row>
    <row r="21" spans="1:4" x14ac:dyDescent="0.25">
      <c r="A21" t="s">
        <v>88</v>
      </c>
      <c r="C21">
        <v>1</v>
      </c>
    </row>
    <row r="22" spans="1:4" x14ac:dyDescent="0.25">
      <c r="A22" t="s">
        <v>89</v>
      </c>
      <c r="C22">
        <v>4</v>
      </c>
      <c r="D22">
        <v>1</v>
      </c>
    </row>
    <row r="23" spans="1:4" x14ac:dyDescent="0.25">
      <c r="A23" t="s">
        <v>90</v>
      </c>
      <c r="C23">
        <v>1</v>
      </c>
      <c r="D23">
        <v>1</v>
      </c>
    </row>
    <row r="24" spans="1:4" x14ac:dyDescent="0.25">
      <c r="A24" t="s">
        <v>130</v>
      </c>
      <c r="B24">
        <v>2</v>
      </c>
    </row>
    <row r="25" spans="1:4" x14ac:dyDescent="0.25">
      <c r="A25" t="s">
        <v>91</v>
      </c>
      <c r="C25">
        <v>1</v>
      </c>
    </row>
    <row r="26" spans="1:4" x14ac:dyDescent="0.25">
      <c r="A26" t="s">
        <v>97</v>
      </c>
      <c r="D26">
        <v>1</v>
      </c>
    </row>
    <row r="27" spans="1:4" x14ac:dyDescent="0.25">
      <c r="A27" t="s">
        <v>131</v>
      </c>
      <c r="B27">
        <v>1</v>
      </c>
    </row>
    <row r="28" spans="1:4" x14ac:dyDescent="0.25">
      <c r="A28" t="s">
        <v>94</v>
      </c>
      <c r="C28">
        <v>1</v>
      </c>
      <c r="D28">
        <v>1</v>
      </c>
    </row>
    <row r="29" spans="1:4" x14ac:dyDescent="0.25">
      <c r="A29" t="s">
        <v>132</v>
      </c>
      <c r="B29">
        <v>2</v>
      </c>
    </row>
    <row r="30" spans="1:4" x14ac:dyDescent="0.25">
      <c r="A30" t="s">
        <v>98</v>
      </c>
      <c r="D30">
        <v>1</v>
      </c>
    </row>
    <row r="31" spans="1:4" x14ac:dyDescent="0.25">
      <c r="A31" t="s">
        <v>99</v>
      </c>
      <c r="D31">
        <v>2</v>
      </c>
    </row>
    <row r="32" spans="1:4" ht="15.75" thickBot="1" x14ac:dyDescent="0.3">
      <c r="A32" t="s">
        <v>100</v>
      </c>
      <c r="D32">
        <v>1</v>
      </c>
    </row>
    <row r="33" spans="1:8" ht="15.75" thickBot="1" x14ac:dyDescent="0.3">
      <c r="A33" t="s">
        <v>101</v>
      </c>
      <c r="D33">
        <v>1</v>
      </c>
      <c r="G33" s="81" t="s">
        <v>128</v>
      </c>
      <c r="H33" s="87">
        <v>72</v>
      </c>
    </row>
    <row r="34" spans="1:8" x14ac:dyDescent="0.25">
      <c r="A34" t="s">
        <v>129</v>
      </c>
      <c r="B34">
        <v>1</v>
      </c>
      <c r="G34" s="17"/>
      <c r="H34" s="17"/>
    </row>
    <row r="35" spans="1:8" x14ac:dyDescent="0.25">
      <c r="A35" t="s">
        <v>104</v>
      </c>
      <c r="D35">
        <v>1</v>
      </c>
    </row>
    <row r="36" spans="1:8" ht="15.75" thickBot="1" x14ac:dyDescent="0.3">
      <c r="A36" t="s">
        <v>105</v>
      </c>
      <c r="D36">
        <v>1</v>
      </c>
    </row>
    <row r="37" spans="1:8" ht="15.75" thickBot="1" x14ac:dyDescent="0.3">
      <c r="A37" s="88" t="s">
        <v>57</v>
      </c>
      <c r="B37" s="89">
        <f>SUM(B3:B36)</f>
        <v>12</v>
      </c>
      <c r="C37" s="89">
        <f t="shared" ref="C37:D37" si="0">SUM(C3:C36)</f>
        <v>39</v>
      </c>
      <c r="D37" s="89">
        <f t="shared" si="0"/>
        <v>21</v>
      </c>
      <c r="E37" s="90">
        <f>SUM(B37:D37)</f>
        <v>72</v>
      </c>
    </row>
  </sheetData>
  <pageMargins left="0.7" right="0.7" top="0.75" bottom="0.75" header="0.3" footer="0.3"/>
  <pageSetup paperSize="5"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DEMOCRATIC Tally</vt:lpstr>
      <vt:lpstr>REPUBLICAN Tally</vt:lpstr>
      <vt:lpstr>LIBERTARIAN Tally</vt:lpstr>
      <vt:lpstr>Total  Votes by Tape</vt:lpstr>
      <vt:lpstr>DEM TC</vt:lpstr>
      <vt:lpstr>REP TC</vt:lpstr>
      <vt:lpstr>'DEM 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Frangiamore</dc:creator>
  <cp:lastModifiedBy>Lynne Girouard</cp:lastModifiedBy>
  <cp:lastPrinted>2024-03-07T19:07:23Z</cp:lastPrinted>
  <dcterms:created xsi:type="dcterms:W3CDTF">2020-02-21T18:08:43Z</dcterms:created>
  <dcterms:modified xsi:type="dcterms:W3CDTF">2024-03-12T13:40:24Z</dcterms:modified>
</cp:coreProperties>
</file>